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\\192.168.2.2\общий обменник\ОБЩИЙ ОТДЕЛ\Татьяна\Покидина лимиты\"/>
    </mc:Choice>
  </mc:AlternateContent>
  <xr:revisionPtr revIDLastSave="0" documentId="13_ncr:1_{A3223756-22B9-4DE7-AAE6-48B6F77F0CA6}" xr6:coauthVersionLast="40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МИТЫ" sheetId="1" r:id="rId1"/>
    <sheet name="ТАРИФЫ" sheetId="2" r:id="rId2"/>
  </sheets>
  <definedNames>
    <definedName name="_xlnm._FilterDatabase" localSheetId="0" hidden="1">ЛИМИТЫ!$A$14:$P$174</definedName>
    <definedName name="_xlnm.Print_Titles" localSheetId="0">ЛИМИТЫ!$11:$14</definedName>
  </definedNames>
  <calcPr calcId="191029"/>
</workbook>
</file>

<file path=xl/calcChain.xml><?xml version="1.0" encoding="utf-8"?>
<calcChain xmlns="http://schemas.openxmlformats.org/spreadsheetml/2006/main">
  <c r="I174" i="1" l="1"/>
  <c r="I173" i="1"/>
  <c r="M174" i="1"/>
  <c r="K55" i="1"/>
  <c r="D118" i="1" l="1"/>
  <c r="F118" i="1"/>
  <c r="H118" i="1"/>
  <c r="I118" i="1"/>
  <c r="J118" i="1"/>
  <c r="N118" i="1"/>
  <c r="D117" i="1"/>
  <c r="F117" i="1"/>
  <c r="H117" i="1"/>
  <c r="I117" i="1"/>
  <c r="J117" i="1"/>
  <c r="N117" i="1"/>
  <c r="N116" i="1" s="1"/>
  <c r="B118" i="1"/>
  <c r="B117" i="1"/>
  <c r="F132" i="1"/>
  <c r="H132" i="1"/>
  <c r="I132" i="1"/>
  <c r="J132" i="1"/>
  <c r="D132" i="1"/>
  <c r="B132" i="1"/>
  <c r="D135" i="1"/>
  <c r="F135" i="1"/>
  <c r="H135" i="1"/>
  <c r="I135" i="1"/>
  <c r="J135" i="1"/>
  <c r="K135" i="1"/>
  <c r="L135" i="1"/>
  <c r="M135" i="1"/>
  <c r="N135" i="1"/>
  <c r="O135" i="1"/>
  <c r="B135" i="1"/>
  <c r="B129" i="1"/>
  <c r="N126" i="1"/>
  <c r="F126" i="1"/>
  <c r="G126" i="1"/>
  <c r="H126" i="1"/>
  <c r="I126" i="1"/>
  <c r="J126" i="1"/>
  <c r="D126" i="1"/>
  <c r="B126" i="1"/>
  <c r="D123" i="1"/>
  <c r="F123" i="1"/>
  <c r="H123" i="1"/>
  <c r="I123" i="1"/>
  <c r="J123" i="1"/>
  <c r="N123" i="1"/>
  <c r="B123" i="1"/>
  <c r="G125" i="1"/>
  <c r="B93" i="1"/>
  <c r="B109" i="1" s="1"/>
  <c r="L98" i="1"/>
  <c r="L97" i="1"/>
  <c r="D89" i="1"/>
  <c r="F89" i="1"/>
  <c r="H89" i="1"/>
  <c r="J89" i="1"/>
  <c r="N89" i="1"/>
  <c r="D96" i="1"/>
  <c r="F96" i="1"/>
  <c r="H96" i="1"/>
  <c r="J96" i="1"/>
  <c r="N96" i="1"/>
  <c r="D99" i="1"/>
  <c r="F99" i="1"/>
  <c r="H99" i="1"/>
  <c r="J99" i="1"/>
  <c r="N99" i="1"/>
  <c r="D102" i="1"/>
  <c r="F102" i="1"/>
  <c r="H102" i="1"/>
  <c r="J102" i="1"/>
  <c r="N102" i="1"/>
  <c r="D105" i="1"/>
  <c r="F105" i="1"/>
  <c r="H105" i="1"/>
  <c r="J105" i="1"/>
  <c r="N105" i="1"/>
  <c r="D94" i="1"/>
  <c r="F94" i="1"/>
  <c r="H94" i="1"/>
  <c r="J94" i="1"/>
  <c r="N94" i="1"/>
  <c r="B94" i="1"/>
  <c r="B110" i="1" s="1"/>
  <c r="D93" i="1"/>
  <c r="F93" i="1"/>
  <c r="H93" i="1"/>
  <c r="J93" i="1"/>
  <c r="N93" i="1"/>
  <c r="D86" i="1"/>
  <c r="F86" i="1"/>
  <c r="H86" i="1"/>
  <c r="J86" i="1"/>
  <c r="N86" i="1"/>
  <c r="B86" i="1"/>
  <c r="B116" i="1" l="1"/>
  <c r="H116" i="1"/>
  <c r="N92" i="1"/>
  <c r="D116" i="1"/>
  <c r="I116" i="1"/>
  <c r="B108" i="1"/>
  <c r="J116" i="1"/>
  <c r="F116" i="1"/>
  <c r="J92" i="1"/>
  <c r="F92" i="1"/>
  <c r="H92" i="1"/>
  <c r="D92" i="1"/>
  <c r="D79" i="1" l="1"/>
  <c r="F79" i="1"/>
  <c r="H79" i="1"/>
  <c r="J79" i="1"/>
  <c r="N79" i="1"/>
  <c r="B79" i="1"/>
  <c r="D76" i="1"/>
  <c r="F76" i="1"/>
  <c r="H76" i="1"/>
  <c r="J76" i="1"/>
  <c r="N76" i="1"/>
  <c r="B76" i="1"/>
  <c r="F73" i="1"/>
  <c r="H73" i="1"/>
  <c r="J73" i="1"/>
  <c r="D73" i="1"/>
  <c r="B73" i="1"/>
  <c r="B65" i="1"/>
  <c r="B84" i="1" s="1"/>
  <c r="B64" i="1"/>
  <c r="B83" i="1" s="1"/>
  <c r="J67" i="1"/>
  <c r="J70" i="1"/>
  <c r="H67" i="1"/>
  <c r="H70" i="1"/>
  <c r="F67" i="1"/>
  <c r="F70" i="1"/>
  <c r="D70" i="1"/>
  <c r="D67" i="1"/>
  <c r="B70" i="1"/>
  <c r="B67" i="1"/>
  <c r="L62" i="1"/>
  <c r="L61" i="1"/>
  <c r="D60" i="1"/>
  <c r="F60" i="1"/>
  <c r="H60" i="1"/>
  <c r="J60" i="1"/>
  <c r="B60" i="1"/>
  <c r="J57" i="1"/>
  <c r="D57" i="1"/>
  <c r="F57" i="1"/>
  <c r="H57" i="1"/>
  <c r="D54" i="1"/>
  <c r="F54" i="1"/>
  <c r="H54" i="1"/>
  <c r="J54" i="1"/>
  <c r="O18" i="1"/>
  <c r="O17" i="1"/>
  <c r="O16" i="1" l="1"/>
  <c r="B82" i="1"/>
  <c r="L60" i="1"/>
  <c r="B63" i="1"/>
  <c r="B89" i="1" l="1"/>
  <c r="B99" i="1"/>
  <c r="B102" i="1"/>
  <c r="B96" i="1"/>
  <c r="B105" i="1"/>
  <c r="B54" i="1"/>
  <c r="B57" i="1"/>
  <c r="D109" i="1"/>
  <c r="B20" i="1"/>
  <c r="O151" i="1"/>
  <c r="O150" i="1"/>
  <c r="O147" i="1"/>
  <c r="O146" i="1"/>
  <c r="O144" i="1"/>
  <c r="O143" i="1"/>
  <c r="O134" i="1"/>
  <c r="O133" i="1"/>
  <c r="O128" i="1"/>
  <c r="O127" i="1"/>
  <c r="O125" i="1"/>
  <c r="O124" i="1"/>
  <c r="O107" i="1"/>
  <c r="O106" i="1"/>
  <c r="O104" i="1"/>
  <c r="O103" i="1"/>
  <c r="O101" i="1"/>
  <c r="O100" i="1"/>
  <c r="O98" i="1"/>
  <c r="O97" i="1"/>
  <c r="O91" i="1"/>
  <c r="O90" i="1"/>
  <c r="O88" i="1"/>
  <c r="O87" i="1"/>
  <c r="O81" i="1"/>
  <c r="O80" i="1"/>
  <c r="O78" i="1"/>
  <c r="O77" i="1"/>
  <c r="O75" i="1"/>
  <c r="O74" i="1"/>
  <c r="O72" i="1"/>
  <c r="O71" i="1"/>
  <c r="O69" i="1"/>
  <c r="O68" i="1"/>
  <c r="O62" i="1"/>
  <c r="O61" i="1"/>
  <c r="O59" i="1"/>
  <c r="O58" i="1"/>
  <c r="O56" i="1"/>
  <c r="O55" i="1"/>
  <c r="O43" i="1"/>
  <c r="O42" i="1"/>
  <c r="O40" i="1"/>
  <c r="O39" i="1"/>
  <c r="O37" i="1"/>
  <c r="O36" i="1"/>
  <c r="O34" i="1"/>
  <c r="O33" i="1"/>
  <c r="O31" i="1"/>
  <c r="O30" i="1"/>
  <c r="O28" i="1"/>
  <c r="O27" i="1"/>
  <c r="O25" i="1"/>
  <c r="O24" i="1"/>
  <c r="O118" i="1" l="1"/>
  <c r="O117" i="1"/>
  <c r="O65" i="1"/>
  <c r="O86" i="1"/>
  <c r="O79" i="1"/>
  <c r="O89" i="1"/>
  <c r="O99" i="1"/>
  <c r="O126" i="1"/>
  <c r="O94" i="1"/>
  <c r="O110" i="1" s="1"/>
  <c r="O20" i="1"/>
  <c r="O64" i="1"/>
  <c r="O96" i="1"/>
  <c r="O93" i="1"/>
  <c r="O109" i="1" s="1"/>
  <c r="O123" i="1"/>
  <c r="O105" i="1"/>
  <c r="O102" i="1"/>
  <c r="O21" i="1"/>
  <c r="O76" i="1"/>
  <c r="L47" i="1"/>
  <c r="N47" i="1"/>
  <c r="O47" i="1"/>
  <c r="J47" i="1"/>
  <c r="L31" i="1"/>
  <c r="L30" i="1"/>
  <c r="F44" i="1"/>
  <c r="G44" i="1"/>
  <c r="H44" i="1"/>
  <c r="I44" i="1"/>
  <c r="J44" i="1"/>
  <c r="K44" i="1"/>
  <c r="L44" i="1"/>
  <c r="M44" i="1"/>
  <c r="N44" i="1"/>
  <c r="O44" i="1"/>
  <c r="D44" i="1"/>
  <c r="D41" i="1"/>
  <c r="F41" i="1"/>
  <c r="H41" i="1"/>
  <c r="J41" i="1"/>
  <c r="B41" i="1"/>
  <c r="O92" i="1" l="1"/>
  <c r="O19" i="1"/>
  <c r="O108" i="1"/>
  <c r="O116" i="1"/>
  <c r="D38" i="1"/>
  <c r="F38" i="1"/>
  <c r="H38" i="1"/>
  <c r="J38" i="1"/>
  <c r="D35" i="1"/>
  <c r="F35" i="1"/>
  <c r="H35" i="1"/>
  <c r="J35" i="1"/>
  <c r="B35" i="1"/>
  <c r="B38" i="1"/>
  <c r="D32" i="1"/>
  <c r="F32" i="1"/>
  <c r="G32" i="1"/>
  <c r="H32" i="1"/>
  <c r="J32" i="1"/>
  <c r="B32" i="1"/>
  <c r="D29" i="1"/>
  <c r="F29" i="1"/>
  <c r="H29" i="1"/>
  <c r="I29" i="1"/>
  <c r="J29" i="1"/>
  <c r="L29" i="1"/>
  <c r="B29" i="1"/>
  <c r="L134" i="1"/>
  <c r="L133" i="1"/>
  <c r="L128" i="1"/>
  <c r="L127" i="1"/>
  <c r="L125" i="1"/>
  <c r="L124" i="1"/>
  <c r="L107" i="1"/>
  <c r="L106" i="1"/>
  <c r="L104" i="1"/>
  <c r="L103" i="1"/>
  <c r="L101" i="1"/>
  <c r="L100" i="1"/>
  <c r="L91" i="1"/>
  <c r="L90" i="1"/>
  <c r="L88" i="1"/>
  <c r="L87" i="1"/>
  <c r="L81" i="1"/>
  <c r="L80" i="1"/>
  <c r="L78" i="1"/>
  <c r="L77" i="1"/>
  <c r="L75" i="1"/>
  <c r="L74" i="1"/>
  <c r="L72" i="1"/>
  <c r="L71" i="1"/>
  <c r="L69" i="1"/>
  <c r="L68" i="1"/>
  <c r="L59" i="1"/>
  <c r="L58" i="1"/>
  <c r="L56" i="1"/>
  <c r="L55" i="1"/>
  <c r="L43" i="1"/>
  <c r="L42" i="1"/>
  <c r="L40" i="1"/>
  <c r="L39" i="1"/>
  <c r="L37" i="1"/>
  <c r="L36" i="1"/>
  <c r="L34" i="1"/>
  <c r="L33" i="1"/>
  <c r="L28" i="1"/>
  <c r="L27" i="1"/>
  <c r="D26" i="1"/>
  <c r="F26" i="1"/>
  <c r="H26" i="1"/>
  <c r="J26" i="1"/>
  <c r="B26" i="1"/>
  <c r="H20" i="1"/>
  <c r="H21" i="1"/>
  <c r="L25" i="1"/>
  <c r="L24" i="1"/>
  <c r="D23" i="1"/>
  <c r="F23" i="1"/>
  <c r="H23" i="1"/>
  <c r="J23" i="1"/>
  <c r="B23" i="1"/>
  <c r="N20" i="1"/>
  <c r="N132" i="1"/>
  <c r="B21" i="1"/>
  <c r="D21" i="1"/>
  <c r="F21" i="1"/>
  <c r="J21" i="1"/>
  <c r="D20" i="1"/>
  <c r="F20" i="1"/>
  <c r="J20" i="1"/>
  <c r="D110" i="1"/>
  <c r="D108" i="1" s="1"/>
  <c r="F110" i="1"/>
  <c r="H110" i="1"/>
  <c r="J110" i="1"/>
  <c r="F109" i="1"/>
  <c r="H109" i="1"/>
  <c r="J109" i="1"/>
  <c r="N110" i="1"/>
  <c r="N109" i="1"/>
  <c r="N21" i="1"/>
  <c r="N73" i="1"/>
  <c r="N70" i="1"/>
  <c r="N67" i="1"/>
  <c r="D64" i="1"/>
  <c r="F64" i="1"/>
  <c r="H64" i="1"/>
  <c r="H83" i="1" s="1"/>
  <c r="J64" i="1"/>
  <c r="J83" i="1" s="1"/>
  <c r="D65" i="1"/>
  <c r="F65" i="1"/>
  <c r="H65" i="1"/>
  <c r="H84" i="1" s="1"/>
  <c r="J65" i="1"/>
  <c r="J84" i="1" s="1"/>
  <c r="N64" i="1"/>
  <c r="N83" i="1" s="1"/>
  <c r="N65" i="1"/>
  <c r="N84" i="1" s="1"/>
  <c r="N60" i="1"/>
  <c r="N57" i="1"/>
  <c r="N54" i="1"/>
  <c r="N41" i="1"/>
  <c r="N38" i="1"/>
  <c r="N35" i="1"/>
  <c r="N32" i="1"/>
  <c r="N29" i="1"/>
  <c r="N26" i="1"/>
  <c r="N23" i="1"/>
  <c r="B44" i="1"/>
  <c r="L18" i="1"/>
  <c r="O52" i="1"/>
  <c r="O83" i="1" s="1"/>
  <c r="N82" i="1" l="1"/>
  <c r="L89" i="1"/>
  <c r="N108" i="1"/>
  <c r="F108" i="1"/>
  <c r="L86" i="1"/>
  <c r="H108" i="1"/>
  <c r="J108" i="1"/>
  <c r="L132" i="1"/>
  <c r="L118" i="1"/>
  <c r="L126" i="1"/>
  <c r="L123" i="1"/>
  <c r="L117" i="1"/>
  <c r="L105" i="1"/>
  <c r="L102" i="1"/>
  <c r="L94" i="1"/>
  <c r="L110" i="1" s="1"/>
  <c r="L99" i="1"/>
  <c r="L96" i="1"/>
  <c r="L93" i="1"/>
  <c r="F84" i="1"/>
  <c r="D84" i="1"/>
  <c r="H63" i="1"/>
  <c r="D63" i="1"/>
  <c r="D83" i="1"/>
  <c r="L57" i="1"/>
  <c r="L67" i="1"/>
  <c r="L73" i="1"/>
  <c r="L79" i="1"/>
  <c r="J63" i="1"/>
  <c r="F83" i="1"/>
  <c r="F63" i="1"/>
  <c r="L70" i="1"/>
  <c r="L76" i="1"/>
  <c r="L54" i="1"/>
  <c r="L65" i="1"/>
  <c r="N63" i="1"/>
  <c r="D19" i="1"/>
  <c r="B92" i="1"/>
  <c r="O132" i="1"/>
  <c r="N19" i="1"/>
  <c r="L64" i="1"/>
  <c r="O73" i="1"/>
  <c r="F19" i="1"/>
  <c r="O67" i="1"/>
  <c r="O41" i="1"/>
  <c r="O23" i="1"/>
  <c r="L41" i="1"/>
  <c r="L21" i="1"/>
  <c r="L38" i="1"/>
  <c r="L35" i="1"/>
  <c r="L32" i="1"/>
  <c r="L26" i="1"/>
  <c r="L20" i="1"/>
  <c r="J19" i="1"/>
  <c r="L23" i="1"/>
  <c r="H19" i="1"/>
  <c r="B19" i="1"/>
  <c r="O70" i="1"/>
  <c r="O26" i="1"/>
  <c r="O29" i="1"/>
  <c r="O32" i="1"/>
  <c r="O57" i="1"/>
  <c r="O60" i="1"/>
  <c r="O54" i="1"/>
  <c r="O38" i="1"/>
  <c r="L116" i="1" l="1"/>
  <c r="F82" i="1"/>
  <c r="L92" i="1"/>
  <c r="L63" i="1"/>
  <c r="L109" i="1"/>
  <c r="L108" i="1" s="1"/>
  <c r="J82" i="1"/>
  <c r="D82" i="1"/>
  <c r="H82" i="1"/>
  <c r="L19" i="1"/>
  <c r="O63" i="1"/>
  <c r="P49" i="1" l="1"/>
  <c r="B139" i="1"/>
  <c r="B113" i="1" s="1"/>
  <c r="L144" i="1"/>
  <c r="L143" i="1"/>
  <c r="J142" i="1"/>
  <c r="H142" i="1"/>
  <c r="N142" i="1"/>
  <c r="F12" i="2"/>
  <c r="L147" i="1"/>
  <c r="L146" i="1"/>
  <c r="M146" i="1" s="1"/>
  <c r="J145" i="1"/>
  <c r="N145" i="1"/>
  <c r="H145" i="1"/>
  <c r="O53" i="1"/>
  <c r="O84" i="1" s="1"/>
  <c r="F51" i="1"/>
  <c r="H51" i="1"/>
  <c r="J51" i="1"/>
  <c r="N51" i="1"/>
  <c r="B51" i="1"/>
  <c r="D51" i="1"/>
  <c r="B145" i="1"/>
  <c r="B142" i="1"/>
  <c r="M48" i="1" l="1"/>
  <c r="M47" i="1" s="1"/>
  <c r="M130" i="1"/>
  <c r="M61" i="1"/>
  <c r="M97" i="1"/>
  <c r="M42" i="1"/>
  <c r="M68" i="1"/>
  <c r="M71" i="1"/>
  <c r="M39" i="1"/>
  <c r="M27" i="1"/>
  <c r="M87" i="1"/>
  <c r="M36" i="1"/>
  <c r="M24" i="1"/>
  <c r="M127" i="1"/>
  <c r="M124" i="1"/>
  <c r="M80" i="1"/>
  <c r="M143" i="1"/>
  <c r="M139" i="1" s="1"/>
  <c r="O82" i="1"/>
  <c r="L145" i="1"/>
  <c r="O142" i="1"/>
  <c r="O145" i="1"/>
  <c r="B138" i="1"/>
  <c r="O51" i="1"/>
  <c r="M64" i="1" l="1"/>
  <c r="F140" i="1"/>
  <c r="F114" i="1" s="1"/>
  <c r="H140" i="1"/>
  <c r="H114" i="1" s="1"/>
  <c r="J140" i="1"/>
  <c r="J114" i="1" s="1"/>
  <c r="L140" i="1"/>
  <c r="L114" i="1" s="1"/>
  <c r="N140" i="1"/>
  <c r="N114" i="1" s="1"/>
  <c r="O140" i="1"/>
  <c r="O114" i="1" s="1"/>
  <c r="B140" i="1"/>
  <c r="B114" i="1" s="1"/>
  <c r="F139" i="1"/>
  <c r="F113" i="1" s="1"/>
  <c r="H139" i="1"/>
  <c r="H113" i="1" s="1"/>
  <c r="J139" i="1"/>
  <c r="J113" i="1" s="1"/>
  <c r="L139" i="1"/>
  <c r="L113" i="1" s="1"/>
  <c r="N139" i="1"/>
  <c r="N113" i="1" s="1"/>
  <c r="O139" i="1"/>
  <c r="O113" i="1" s="1"/>
  <c r="D140" i="1"/>
  <c r="D114" i="1" s="1"/>
  <c r="D174" i="1" s="1"/>
  <c r="D139" i="1"/>
  <c r="D113" i="1" s="1"/>
  <c r="D145" i="1"/>
  <c r="D142" i="1"/>
  <c r="O112" i="1" l="1"/>
  <c r="L112" i="1"/>
  <c r="H112" i="1"/>
  <c r="B112" i="1"/>
  <c r="N112" i="1"/>
  <c r="J112" i="1"/>
  <c r="F112" i="1"/>
  <c r="D112" i="1"/>
  <c r="D173" i="1"/>
  <c r="D138" i="1"/>
  <c r="L151" i="1"/>
  <c r="L150" i="1"/>
  <c r="M150" i="1" s="1"/>
  <c r="L149" i="1"/>
  <c r="F149" i="1"/>
  <c r="B155" i="1"/>
  <c r="B174" i="1" s="1"/>
  <c r="B154" i="1"/>
  <c r="B173" i="1" s="1"/>
  <c r="B153" i="1"/>
  <c r="L170" i="1"/>
  <c r="E169" i="1"/>
  <c r="B172" i="1" l="1"/>
  <c r="O149" i="1"/>
  <c r="L53" i="1" l="1"/>
  <c r="L84" i="1" s="1"/>
  <c r="L174" i="1" s="1"/>
  <c r="L52" i="1"/>
  <c r="B16" i="1"/>
  <c r="F16" i="1"/>
  <c r="H16" i="1"/>
  <c r="M52" i="1" l="1"/>
  <c r="L83" i="1"/>
  <c r="L82" i="1" s="1"/>
  <c r="L51" i="1"/>
  <c r="N16" i="1" l="1"/>
  <c r="L17" i="1"/>
  <c r="J16" i="1"/>
  <c r="D16" i="1"/>
  <c r="D172" i="1"/>
  <c r="L120" i="1"/>
  <c r="L129" i="1"/>
  <c r="F138" i="1"/>
  <c r="H138" i="1"/>
  <c r="J138" i="1"/>
  <c r="N138" i="1"/>
  <c r="O138" i="1"/>
  <c r="L142" i="1"/>
  <c r="D169" i="1"/>
  <c r="L169" i="1"/>
  <c r="M17" i="1" l="1"/>
  <c r="L173" i="1"/>
  <c r="L172" i="1" s="1"/>
  <c r="L16" i="1"/>
  <c r="L138" i="1"/>
  <c r="E17" i="2"/>
  <c r="G17" i="2" s="1"/>
  <c r="F9" i="2"/>
  <c r="F10" i="2"/>
  <c r="J4" i="2"/>
  <c r="G5" i="2"/>
  <c r="G6" i="2"/>
  <c r="G7" i="2"/>
  <c r="G8" i="2"/>
  <c r="G9" i="2"/>
  <c r="G10" i="2"/>
  <c r="G11" i="2"/>
  <c r="G12" i="2"/>
  <c r="G13" i="2"/>
  <c r="G14" i="2"/>
  <c r="G15" i="2"/>
  <c r="G20" i="2"/>
  <c r="G21" i="2"/>
  <c r="G22" i="2"/>
  <c r="G23" i="2"/>
  <c r="F5" i="2"/>
  <c r="F6" i="2"/>
  <c r="F7" i="2"/>
  <c r="F8" i="2"/>
  <c r="F11" i="2"/>
  <c r="F13" i="2"/>
  <c r="F14" i="2"/>
  <c r="F15" i="2"/>
  <c r="F16" i="2"/>
  <c r="F17" i="2"/>
  <c r="F18" i="2"/>
  <c r="F19" i="2"/>
  <c r="F20" i="2"/>
  <c r="F21" i="2"/>
  <c r="F22" i="2"/>
  <c r="F23" i="2"/>
  <c r="K74" i="1" l="1"/>
  <c r="K100" i="1"/>
  <c r="K90" i="1"/>
  <c r="I55" i="1"/>
  <c r="I90" i="1"/>
  <c r="K30" i="1"/>
  <c r="I74" i="1"/>
  <c r="I100" i="1"/>
  <c r="K18" i="1"/>
  <c r="K151" i="1"/>
  <c r="K147" i="1"/>
  <c r="K144" i="1"/>
  <c r="K128" i="1"/>
  <c r="K98" i="1"/>
  <c r="K88" i="1"/>
  <c r="K72" i="1"/>
  <c r="K62" i="1"/>
  <c r="K43" i="1"/>
  <c r="K40" i="1"/>
  <c r="K37" i="1"/>
  <c r="K28" i="1"/>
  <c r="I18" i="1"/>
  <c r="I25" i="1"/>
  <c r="K48" i="1"/>
  <c r="I147" i="1"/>
  <c r="I98" i="1"/>
  <c r="I43" i="1"/>
  <c r="I81" i="1"/>
  <c r="I62" i="1"/>
  <c r="I151" i="1"/>
  <c r="K125" i="1"/>
  <c r="K53" i="1"/>
  <c r="I72" i="1"/>
  <c r="K131" i="1"/>
  <c r="K69" i="1"/>
  <c r="I37" i="1"/>
  <c r="I28" i="1"/>
  <c r="I144" i="1"/>
  <c r="I140" i="1" s="1"/>
  <c r="I114" i="1" s="1"/>
  <c r="I69" i="1"/>
  <c r="I65" i="1" s="1"/>
  <c r="K81" i="1"/>
  <c r="K25" i="1"/>
  <c r="I88" i="1"/>
  <c r="I53" i="1"/>
  <c r="I40" i="1"/>
  <c r="M30" i="1"/>
  <c r="M55" i="1"/>
  <c r="M74" i="1"/>
  <c r="M90" i="1"/>
  <c r="M100" i="1"/>
  <c r="K133" i="1"/>
  <c r="K106" i="1"/>
  <c r="I106" i="1"/>
  <c r="K58" i="1"/>
  <c r="I58" i="1"/>
  <c r="M33" i="1"/>
  <c r="M77" i="1"/>
  <c r="M103" i="1"/>
  <c r="G106" i="1"/>
  <c r="E133" i="1"/>
  <c r="E106" i="1"/>
  <c r="G58" i="1"/>
  <c r="E58" i="1"/>
  <c r="M34" i="1"/>
  <c r="M104" i="1"/>
  <c r="M78" i="1"/>
  <c r="K78" i="1"/>
  <c r="K104" i="1"/>
  <c r="I34" i="1"/>
  <c r="I104" i="1"/>
  <c r="K34" i="1"/>
  <c r="I78" i="1"/>
  <c r="G104" i="1"/>
  <c r="G78" i="1"/>
  <c r="E78" i="1"/>
  <c r="E104" i="1"/>
  <c r="E34" i="1"/>
  <c r="C170" i="1"/>
  <c r="C164" i="1"/>
  <c r="P164" i="1" s="1"/>
  <c r="C158" i="1"/>
  <c r="C143" i="1"/>
  <c r="C130" i="1"/>
  <c r="C52" i="1"/>
  <c r="C42" i="1"/>
  <c r="C36" i="1"/>
  <c r="C30" i="1"/>
  <c r="C17" i="1"/>
  <c r="C150" i="1"/>
  <c r="C127" i="1"/>
  <c r="C97" i="1"/>
  <c r="C80" i="1"/>
  <c r="C61" i="1"/>
  <c r="C167" i="1"/>
  <c r="C121" i="1"/>
  <c r="C27" i="1"/>
  <c r="C33" i="1"/>
  <c r="C124" i="1"/>
  <c r="C77" i="1"/>
  <c r="C103" i="1"/>
  <c r="C90" i="1"/>
  <c r="C71" i="1"/>
  <c r="C58" i="1"/>
  <c r="C136" i="1"/>
  <c r="C100" i="1"/>
  <c r="C68" i="1"/>
  <c r="C64" i="1" s="1"/>
  <c r="C146" i="1"/>
  <c r="C133" i="1"/>
  <c r="C74" i="1"/>
  <c r="C45" i="1"/>
  <c r="C87" i="1"/>
  <c r="C161" i="1"/>
  <c r="P161" i="1" s="1"/>
  <c r="C106" i="1"/>
  <c r="C39" i="1"/>
  <c r="C55" i="1"/>
  <c r="C24" i="1"/>
  <c r="G103" i="1"/>
  <c r="G77" i="1"/>
  <c r="E33" i="1"/>
  <c r="E77" i="1"/>
  <c r="E76" i="1" s="1"/>
  <c r="E103" i="1"/>
  <c r="E102" i="1" s="1"/>
  <c r="M131" i="1"/>
  <c r="M62" i="1"/>
  <c r="M128" i="1"/>
  <c r="M25" i="1"/>
  <c r="M37" i="1"/>
  <c r="M35" i="1" s="1"/>
  <c r="M40" i="1"/>
  <c r="M38" i="1" s="1"/>
  <c r="M18" i="1"/>
  <c r="M72" i="1"/>
  <c r="M70" i="1" s="1"/>
  <c r="M43" i="1"/>
  <c r="M41" i="1" s="1"/>
  <c r="M81" i="1"/>
  <c r="M88" i="1"/>
  <c r="M86" i="1" s="1"/>
  <c r="M98" i="1"/>
  <c r="M28" i="1"/>
  <c r="M26" i="1" s="1"/>
  <c r="M69" i="1"/>
  <c r="M125" i="1"/>
  <c r="M147" i="1"/>
  <c r="M145" i="1" s="1"/>
  <c r="M144" i="1"/>
  <c r="M151" i="1"/>
  <c r="M149" i="1" s="1"/>
  <c r="M53" i="1"/>
  <c r="K17" i="1"/>
  <c r="I80" i="1"/>
  <c r="I79" i="1" s="1"/>
  <c r="I68" i="1"/>
  <c r="I52" i="1"/>
  <c r="K150" i="1"/>
  <c r="I143" i="1"/>
  <c r="K127" i="1"/>
  <c r="K126" i="1" s="1"/>
  <c r="K80" i="1"/>
  <c r="K61" i="1"/>
  <c r="K60" i="1" s="1"/>
  <c r="I39" i="1"/>
  <c r="I38" i="1" s="1"/>
  <c r="K27" i="1"/>
  <c r="K26" i="1" s="1"/>
  <c r="I24" i="1"/>
  <c r="K71" i="1"/>
  <c r="K36" i="1"/>
  <c r="K35" i="1" s="1"/>
  <c r="I61" i="1"/>
  <c r="I60" i="1" s="1"/>
  <c r="I150" i="1"/>
  <c r="I149" i="1" s="1"/>
  <c r="K124" i="1"/>
  <c r="K39" i="1"/>
  <c r="I146" i="1"/>
  <c r="I145" i="1" s="1"/>
  <c r="I97" i="1"/>
  <c r="I42" i="1"/>
  <c r="I41" i="1" s="1"/>
  <c r="K143" i="1"/>
  <c r="K87" i="1"/>
  <c r="K52" i="1"/>
  <c r="I27" i="1"/>
  <c r="I26" i="1" s="1"/>
  <c r="K68" i="1"/>
  <c r="I17" i="1"/>
  <c r="K24" i="1"/>
  <c r="K97" i="1"/>
  <c r="I71" i="1"/>
  <c r="K130" i="1"/>
  <c r="K42" i="1"/>
  <c r="K41" i="1" s="1"/>
  <c r="I87" i="1"/>
  <c r="K146" i="1"/>
  <c r="I36" i="1"/>
  <c r="K129" i="1"/>
  <c r="M31" i="1"/>
  <c r="M75" i="1"/>
  <c r="M101" i="1"/>
  <c r="M56" i="1"/>
  <c r="M91" i="1"/>
  <c r="K31" i="1"/>
  <c r="I75" i="1"/>
  <c r="I56" i="1"/>
  <c r="I101" i="1"/>
  <c r="I91" i="1"/>
  <c r="K75" i="1"/>
  <c r="K101" i="1"/>
  <c r="K56" i="1"/>
  <c r="K54" i="1" s="1"/>
  <c r="K91" i="1"/>
  <c r="G137" i="1"/>
  <c r="E137" i="1"/>
  <c r="E101" i="1"/>
  <c r="E91" i="1"/>
  <c r="E75" i="1"/>
  <c r="E56" i="1"/>
  <c r="G31" i="1"/>
  <c r="G101" i="1"/>
  <c r="G75" i="1"/>
  <c r="G134" i="1"/>
  <c r="G91" i="1"/>
  <c r="G56" i="1"/>
  <c r="E31" i="1"/>
  <c r="M58" i="1"/>
  <c r="M106" i="1"/>
  <c r="M133" i="1"/>
  <c r="M117" i="1" s="1"/>
  <c r="M113" i="1" s="1"/>
  <c r="G100" i="1"/>
  <c r="G90" i="1"/>
  <c r="G74" i="1"/>
  <c r="G55" i="1"/>
  <c r="G54" i="1" s="1"/>
  <c r="G136" i="1"/>
  <c r="G135" i="1" s="1"/>
  <c r="E136" i="1"/>
  <c r="E135" i="1" s="1"/>
  <c r="E55" i="1"/>
  <c r="E90" i="1"/>
  <c r="E89" i="1" s="1"/>
  <c r="E100" i="1"/>
  <c r="E74" i="1"/>
  <c r="G30" i="1"/>
  <c r="E30" i="1"/>
  <c r="G133" i="1"/>
  <c r="M134" i="1"/>
  <c r="M59" i="1"/>
  <c r="M107" i="1"/>
  <c r="K107" i="1"/>
  <c r="K134" i="1"/>
  <c r="K132" i="1" s="1"/>
  <c r="I107" i="1"/>
  <c r="K59" i="1"/>
  <c r="I59" i="1"/>
  <c r="E134" i="1"/>
  <c r="E107" i="1"/>
  <c r="G107" i="1"/>
  <c r="E81" i="1"/>
  <c r="G59" i="1"/>
  <c r="G81" i="1"/>
  <c r="E59" i="1"/>
  <c r="G98" i="1"/>
  <c r="E72" i="1"/>
  <c r="E69" i="1"/>
  <c r="E65" i="1" s="1"/>
  <c r="G69" i="1"/>
  <c r="G72" i="1"/>
  <c r="K77" i="1"/>
  <c r="K103" i="1"/>
  <c r="K102" i="1" s="1"/>
  <c r="I103" i="1"/>
  <c r="K33" i="1"/>
  <c r="I77" i="1"/>
  <c r="I33" i="1"/>
  <c r="M129" i="1"/>
  <c r="G4" i="2"/>
  <c r="F4" i="2"/>
  <c r="C139" i="1" l="1"/>
  <c r="K140" i="1"/>
  <c r="K117" i="1"/>
  <c r="I84" i="1"/>
  <c r="M83" i="1"/>
  <c r="I76" i="1"/>
  <c r="I64" i="1"/>
  <c r="I83" i="1" s="1"/>
  <c r="K118" i="1"/>
  <c r="M118" i="1"/>
  <c r="C117" i="1"/>
  <c r="C113" i="1" s="1"/>
  <c r="K139" i="1"/>
  <c r="C154" i="1"/>
  <c r="G118" i="1"/>
  <c r="M89" i="1"/>
  <c r="K89" i="1"/>
  <c r="E73" i="1"/>
  <c r="G102" i="1"/>
  <c r="K51" i="1"/>
  <c r="K79" i="1"/>
  <c r="E57" i="1"/>
  <c r="M54" i="1"/>
  <c r="I35" i="1"/>
  <c r="P55" i="1"/>
  <c r="K70" i="1"/>
  <c r="I32" i="1"/>
  <c r="E32" i="1"/>
  <c r="K65" i="1"/>
  <c r="K84" i="1" s="1"/>
  <c r="M65" i="1"/>
  <c r="M63" i="1" s="1"/>
  <c r="I70" i="1"/>
  <c r="C83" i="1"/>
  <c r="M16" i="1"/>
  <c r="E54" i="1"/>
  <c r="G73" i="1"/>
  <c r="M105" i="1"/>
  <c r="K149" i="1"/>
  <c r="K16" i="1"/>
  <c r="E132" i="1"/>
  <c r="K105" i="1"/>
  <c r="M73" i="1"/>
  <c r="I73" i="1"/>
  <c r="E29" i="1"/>
  <c r="G65" i="1"/>
  <c r="G76" i="1"/>
  <c r="G105" i="1"/>
  <c r="I57" i="1"/>
  <c r="K29" i="1"/>
  <c r="G29" i="1"/>
  <c r="M102" i="1"/>
  <c r="I102" i="1"/>
  <c r="K76" i="1"/>
  <c r="I86" i="1"/>
  <c r="K96" i="1"/>
  <c r="K93" i="1"/>
  <c r="M21" i="1"/>
  <c r="M23" i="1"/>
  <c r="P106" i="1"/>
  <c r="P74" i="1"/>
  <c r="P90" i="1"/>
  <c r="P33" i="1"/>
  <c r="P158" i="1"/>
  <c r="M32" i="1"/>
  <c r="I21" i="1"/>
  <c r="G89" i="1"/>
  <c r="I20" i="1"/>
  <c r="I23" i="1"/>
  <c r="I51" i="1"/>
  <c r="M51" i="1"/>
  <c r="M123" i="1"/>
  <c r="C20" i="1"/>
  <c r="C173" i="1" s="1"/>
  <c r="P133" i="1"/>
  <c r="P103" i="1"/>
  <c r="I94" i="1"/>
  <c r="I110" i="1" s="1"/>
  <c r="K94" i="1"/>
  <c r="K110" i="1" s="1"/>
  <c r="K99" i="1"/>
  <c r="K32" i="1"/>
  <c r="G94" i="1"/>
  <c r="G132" i="1"/>
  <c r="E99" i="1"/>
  <c r="G99" i="1"/>
  <c r="I16" i="1"/>
  <c r="K86" i="1"/>
  <c r="I67" i="1"/>
  <c r="M67" i="1"/>
  <c r="M79" i="1"/>
  <c r="M60" i="1"/>
  <c r="P58" i="1"/>
  <c r="P121" i="1"/>
  <c r="C93" i="1"/>
  <c r="C109" i="1" s="1"/>
  <c r="P30" i="1"/>
  <c r="P130" i="1"/>
  <c r="P170" i="1"/>
  <c r="G57" i="1"/>
  <c r="K57" i="1"/>
  <c r="M99" i="1"/>
  <c r="M93" i="1"/>
  <c r="M29" i="1"/>
  <c r="M20" i="1"/>
  <c r="K21" i="1"/>
  <c r="I89" i="1"/>
  <c r="G88" i="1"/>
  <c r="E125" i="1"/>
  <c r="E118" i="1" s="1"/>
  <c r="E88" i="1"/>
  <c r="E128" i="1"/>
  <c r="E97" i="1"/>
  <c r="E62" i="1"/>
  <c r="G62" i="1"/>
  <c r="G28" i="1"/>
  <c r="G40" i="1"/>
  <c r="G53" i="1"/>
  <c r="E53" i="1"/>
  <c r="E84" i="1" s="1"/>
  <c r="E46" i="1"/>
  <c r="E18" i="1"/>
  <c r="G43" i="1"/>
  <c r="G25" i="1"/>
  <c r="G37" i="1"/>
  <c r="E25" i="1"/>
  <c r="G18" i="1"/>
  <c r="E43" i="1"/>
  <c r="E40" i="1"/>
  <c r="E28" i="1"/>
  <c r="E37" i="1"/>
  <c r="G144" i="1"/>
  <c r="G147" i="1"/>
  <c r="E147" i="1"/>
  <c r="E144" i="1"/>
  <c r="E151" i="1"/>
  <c r="G151" i="1"/>
  <c r="K123" i="1"/>
  <c r="M94" i="1"/>
  <c r="M110" i="1" s="1"/>
  <c r="M96" i="1"/>
  <c r="P100" i="1"/>
  <c r="M57" i="1"/>
  <c r="K20" i="1"/>
  <c r="K23" i="1"/>
  <c r="I93" i="1"/>
  <c r="I96" i="1"/>
  <c r="M126" i="1"/>
  <c r="P136" i="1"/>
  <c r="E98" i="1"/>
  <c r="E94" i="1" s="1"/>
  <c r="G97" i="1"/>
  <c r="E68" i="1"/>
  <c r="E64" i="1" s="1"/>
  <c r="G61" i="1"/>
  <c r="E80" i="1"/>
  <c r="E79" i="1" s="1"/>
  <c r="G124" i="1"/>
  <c r="G17" i="1"/>
  <c r="G39" i="1"/>
  <c r="G71" i="1"/>
  <c r="G70" i="1" s="1"/>
  <c r="E87" i="1"/>
  <c r="E24" i="1"/>
  <c r="G27" i="1"/>
  <c r="E45" i="1"/>
  <c r="E71" i="1"/>
  <c r="E70" i="1" s="1"/>
  <c r="G87" i="1"/>
  <c r="G42" i="1"/>
  <c r="E17" i="1"/>
  <c r="G68" i="1"/>
  <c r="E124" i="1"/>
  <c r="E117" i="1" s="1"/>
  <c r="G36" i="1"/>
  <c r="G80" i="1"/>
  <c r="G79" i="1" s="1"/>
  <c r="E61" i="1"/>
  <c r="G24" i="1"/>
  <c r="G52" i="1"/>
  <c r="E127" i="1"/>
  <c r="P127" i="1" s="1"/>
  <c r="E52" i="1"/>
  <c r="E42" i="1"/>
  <c r="E27" i="1"/>
  <c r="E36" i="1"/>
  <c r="E39" i="1"/>
  <c r="G143" i="1"/>
  <c r="G146" i="1"/>
  <c r="E146" i="1"/>
  <c r="E143" i="1"/>
  <c r="E139" i="1" s="1"/>
  <c r="E150" i="1"/>
  <c r="G150" i="1"/>
  <c r="M132" i="1"/>
  <c r="K145" i="1"/>
  <c r="K67" i="1"/>
  <c r="K64" i="1"/>
  <c r="K83" i="1" s="1"/>
  <c r="K142" i="1"/>
  <c r="K38" i="1"/>
  <c r="I142" i="1"/>
  <c r="I138" i="1" s="1"/>
  <c r="I139" i="1"/>
  <c r="I113" i="1" s="1"/>
  <c r="I112" i="1" s="1"/>
  <c r="M142" i="1"/>
  <c r="M138" i="1" s="1"/>
  <c r="M140" i="1"/>
  <c r="P45" i="1"/>
  <c r="P167" i="1"/>
  <c r="E105" i="1"/>
  <c r="P77" i="1"/>
  <c r="M76" i="1"/>
  <c r="I105" i="1"/>
  <c r="K47" i="1"/>
  <c r="P48" i="1"/>
  <c r="I99" i="1"/>
  <c r="I54" i="1"/>
  <c r="K73" i="1"/>
  <c r="E18" i="2"/>
  <c r="G18" i="2" s="1"/>
  <c r="E19" i="2"/>
  <c r="G19" i="2" s="1"/>
  <c r="E16" i="2"/>
  <c r="E60" i="1" l="1"/>
  <c r="K114" i="1"/>
  <c r="K174" i="1" s="1"/>
  <c r="E41" i="1"/>
  <c r="K19" i="1"/>
  <c r="M114" i="1"/>
  <c r="E83" i="1"/>
  <c r="E149" i="1"/>
  <c r="K113" i="1"/>
  <c r="K82" i="1"/>
  <c r="G84" i="1"/>
  <c r="M84" i="1"/>
  <c r="M82" i="1" s="1"/>
  <c r="P87" i="1"/>
  <c r="G139" i="1"/>
  <c r="G140" i="1"/>
  <c r="G114" i="1" s="1"/>
  <c r="E16" i="1"/>
  <c r="P124" i="1"/>
  <c r="P117" i="1" s="1"/>
  <c r="K116" i="1"/>
  <c r="E35" i="1"/>
  <c r="P97" i="1"/>
  <c r="P93" i="1" s="1"/>
  <c r="P109" i="1" s="1"/>
  <c r="G41" i="1"/>
  <c r="P52" i="1"/>
  <c r="P61" i="1"/>
  <c r="P68" i="1"/>
  <c r="I63" i="1"/>
  <c r="M19" i="1"/>
  <c r="E86" i="1"/>
  <c r="E26" i="1"/>
  <c r="G38" i="1"/>
  <c r="P27" i="1"/>
  <c r="G16" i="1"/>
  <c r="P36" i="1"/>
  <c r="G86" i="1"/>
  <c r="I92" i="1"/>
  <c r="G20" i="1"/>
  <c r="G23" i="1"/>
  <c r="E23" i="1"/>
  <c r="E20" i="1"/>
  <c r="E63" i="1"/>
  <c r="E67" i="1"/>
  <c r="E38" i="1"/>
  <c r="G64" i="1"/>
  <c r="G63" i="1" s="1"/>
  <c r="G67" i="1"/>
  <c r="G123" i="1"/>
  <c r="G117" i="1"/>
  <c r="G116" i="1" s="1"/>
  <c r="G96" i="1"/>
  <c r="G93" i="1"/>
  <c r="I19" i="1"/>
  <c r="P154" i="1"/>
  <c r="P150" i="1"/>
  <c r="P71" i="1"/>
  <c r="P39" i="1"/>
  <c r="K138" i="1"/>
  <c r="P146" i="1"/>
  <c r="E145" i="1"/>
  <c r="E126" i="1"/>
  <c r="E44" i="1"/>
  <c r="E110" i="1"/>
  <c r="E140" i="1"/>
  <c r="G110" i="1"/>
  <c r="P17" i="1"/>
  <c r="P42" i="1"/>
  <c r="I109" i="1"/>
  <c r="I108" i="1" s="1"/>
  <c r="P47" i="1"/>
  <c r="G142" i="1"/>
  <c r="E123" i="1"/>
  <c r="K109" i="1"/>
  <c r="K108" i="1" s="1"/>
  <c r="K92" i="1"/>
  <c r="P143" i="1"/>
  <c r="E142" i="1"/>
  <c r="E51" i="1"/>
  <c r="G21" i="1"/>
  <c r="G174" i="1" s="1"/>
  <c r="M109" i="1"/>
  <c r="M108" i="1" s="1"/>
  <c r="M92" i="1"/>
  <c r="K63" i="1"/>
  <c r="M116" i="1"/>
  <c r="G149" i="1"/>
  <c r="G145" i="1"/>
  <c r="G51" i="1"/>
  <c r="G35" i="1"/>
  <c r="G26" i="1"/>
  <c r="G60" i="1"/>
  <c r="P80" i="1"/>
  <c r="E21" i="1"/>
  <c r="E96" i="1"/>
  <c r="E93" i="1"/>
  <c r="P24" i="1"/>
  <c r="I82" i="1"/>
  <c r="G16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K173" i="1" l="1"/>
  <c r="G83" i="1"/>
  <c r="M112" i="1"/>
  <c r="G138" i="1"/>
  <c r="K172" i="1"/>
  <c r="E116" i="1"/>
  <c r="K112" i="1"/>
  <c r="E82" i="1"/>
  <c r="P64" i="1"/>
  <c r="P83" i="1" s="1"/>
  <c r="G113" i="1"/>
  <c r="G112" i="1" s="1"/>
  <c r="E114" i="1"/>
  <c r="E174" i="1" s="1"/>
  <c r="P20" i="1"/>
  <c r="P173" i="1" s="1"/>
  <c r="E19" i="1"/>
  <c r="E138" i="1"/>
  <c r="G109" i="1"/>
  <c r="G108" i="1" s="1"/>
  <c r="G92" i="1"/>
  <c r="E109" i="1"/>
  <c r="E108" i="1" s="1"/>
  <c r="E92" i="1"/>
  <c r="E113" i="1"/>
  <c r="C151" i="1"/>
  <c r="C128" i="1"/>
  <c r="C107" i="1"/>
  <c r="C101" i="1"/>
  <c r="C91" i="1"/>
  <c r="C81" i="1"/>
  <c r="C75" i="1"/>
  <c r="C69" i="1"/>
  <c r="C59" i="1"/>
  <c r="C25" i="1"/>
  <c r="C104" i="1"/>
  <c r="C72" i="1"/>
  <c r="P72" i="1" s="1"/>
  <c r="P70" i="1" s="1"/>
  <c r="C159" i="1"/>
  <c r="C137" i="1"/>
  <c r="C43" i="1"/>
  <c r="C34" i="1"/>
  <c r="C78" i="1"/>
  <c r="P78" i="1" s="1"/>
  <c r="P76" i="1" s="1"/>
  <c r="C165" i="1"/>
  <c r="P165" i="1" s="1"/>
  <c r="C147" i="1"/>
  <c r="P147" i="1" s="1"/>
  <c r="C53" i="1"/>
  <c r="C40" i="1"/>
  <c r="C88" i="1"/>
  <c r="P88" i="1" s="1"/>
  <c r="C56" i="1"/>
  <c r="P56" i="1" s="1"/>
  <c r="C162" i="1"/>
  <c r="P162" i="1" s="1"/>
  <c r="C125" i="1"/>
  <c r="C18" i="1"/>
  <c r="C134" i="1"/>
  <c r="C171" i="1"/>
  <c r="C144" i="1"/>
  <c r="C28" i="1"/>
  <c r="C98" i="1"/>
  <c r="C122" i="1"/>
  <c r="C62" i="1"/>
  <c r="C131" i="1"/>
  <c r="C168" i="1"/>
  <c r="C37" i="1"/>
  <c r="C46" i="1"/>
  <c r="C31" i="1"/>
  <c r="C157" i="1"/>
  <c r="P157" i="1" s="1"/>
  <c r="C145" i="1"/>
  <c r="C160" i="1"/>
  <c r="P160" i="1" s="1"/>
  <c r="C163" i="1"/>
  <c r="P163" i="1" s="1"/>
  <c r="P139" i="1"/>
  <c r="P113" i="1" s="1"/>
  <c r="G19" i="1"/>
  <c r="E154" i="1"/>
  <c r="E155" i="1"/>
  <c r="E153" i="1"/>
  <c r="H154" i="1"/>
  <c r="H173" i="1" s="1"/>
  <c r="H153" i="1"/>
  <c r="H155" i="1"/>
  <c r="H174" i="1" s="1"/>
  <c r="I154" i="1"/>
  <c r="I155" i="1"/>
  <c r="I153" i="1"/>
  <c r="F155" i="1"/>
  <c r="F174" i="1" s="1"/>
  <c r="F153" i="1"/>
  <c r="F154" i="1"/>
  <c r="F173" i="1" s="1"/>
  <c r="N154" i="1"/>
  <c r="N173" i="1" s="1"/>
  <c r="N153" i="1"/>
  <c r="N155" i="1"/>
  <c r="N174" i="1" s="1"/>
  <c r="M155" i="1"/>
  <c r="M154" i="1"/>
  <c r="M173" i="1" s="1"/>
  <c r="M153" i="1"/>
  <c r="O155" i="1"/>
  <c r="O174" i="1" s="1"/>
  <c r="O154" i="1"/>
  <c r="O173" i="1" s="1"/>
  <c r="O153" i="1"/>
  <c r="J154" i="1"/>
  <c r="J173" i="1" s="1"/>
  <c r="J155" i="1"/>
  <c r="J174" i="1" s="1"/>
  <c r="J153" i="1"/>
  <c r="G82" i="1" l="1"/>
  <c r="G173" i="1"/>
  <c r="E173" i="1"/>
  <c r="C118" i="1"/>
  <c r="C65" i="1"/>
  <c r="M172" i="1"/>
  <c r="C140" i="1"/>
  <c r="C155" i="1"/>
  <c r="I172" i="1"/>
  <c r="G172" i="1"/>
  <c r="E112" i="1"/>
  <c r="C63" i="1"/>
  <c r="P46" i="1"/>
  <c r="P44" i="1" s="1"/>
  <c r="C44" i="1"/>
  <c r="C142" i="1"/>
  <c r="C138" i="1" s="1"/>
  <c r="P144" i="1"/>
  <c r="P140" i="1" s="1"/>
  <c r="P125" i="1"/>
  <c r="C123" i="1"/>
  <c r="C76" i="1"/>
  <c r="P59" i="1"/>
  <c r="C57" i="1"/>
  <c r="P57" i="1" s="1"/>
  <c r="P151" i="1"/>
  <c r="C149" i="1"/>
  <c r="P149" i="1" s="1"/>
  <c r="P145" i="1"/>
  <c r="P37" i="1"/>
  <c r="C35" i="1"/>
  <c r="P35" i="1" s="1"/>
  <c r="C116" i="1"/>
  <c r="P122" i="1"/>
  <c r="C120" i="1"/>
  <c r="P120" i="1" s="1"/>
  <c r="P171" i="1"/>
  <c r="C169" i="1"/>
  <c r="P169" i="1" s="1"/>
  <c r="P53" i="1"/>
  <c r="C51" i="1"/>
  <c r="P34" i="1"/>
  <c r="C32" i="1"/>
  <c r="P32" i="1" s="1"/>
  <c r="C70" i="1"/>
  <c r="P101" i="1"/>
  <c r="P99" i="1" s="1"/>
  <c r="C99" i="1"/>
  <c r="P168" i="1"/>
  <c r="C166" i="1"/>
  <c r="P166" i="1" s="1"/>
  <c r="P153" i="1" s="1"/>
  <c r="C94" i="1"/>
  <c r="C110" i="1" s="1"/>
  <c r="P98" i="1"/>
  <c r="C96" i="1"/>
  <c r="C132" i="1"/>
  <c r="P132" i="1" s="1"/>
  <c r="P134" i="1"/>
  <c r="C54" i="1"/>
  <c r="P43" i="1"/>
  <c r="C41" i="1"/>
  <c r="P41" i="1" s="1"/>
  <c r="C102" i="1"/>
  <c r="P102" i="1" s="1"/>
  <c r="P104" i="1"/>
  <c r="C73" i="1"/>
  <c r="P73" i="1" s="1"/>
  <c r="P75" i="1"/>
  <c r="C105" i="1"/>
  <c r="P107" i="1"/>
  <c r="P105" i="1" s="1"/>
  <c r="C60" i="1"/>
  <c r="P60" i="1" s="1"/>
  <c r="P62" i="1"/>
  <c r="P40" i="1"/>
  <c r="C38" i="1"/>
  <c r="P38" i="1" s="1"/>
  <c r="P159" i="1"/>
  <c r="P91" i="1"/>
  <c r="C89" i="1"/>
  <c r="P69" i="1"/>
  <c r="C67" i="1"/>
  <c r="P31" i="1"/>
  <c r="P29" i="1" s="1"/>
  <c r="C29" i="1"/>
  <c r="P131" i="1"/>
  <c r="C129" i="1"/>
  <c r="P129" i="1" s="1"/>
  <c r="P28" i="1"/>
  <c r="C26" i="1"/>
  <c r="P26" i="1" s="1"/>
  <c r="P18" i="1"/>
  <c r="C16" i="1"/>
  <c r="C86" i="1"/>
  <c r="P137" i="1"/>
  <c r="C135" i="1"/>
  <c r="P135" i="1" s="1"/>
  <c r="C21" i="1"/>
  <c r="C19" i="1" s="1"/>
  <c r="P25" i="1"/>
  <c r="C23" i="1"/>
  <c r="P81" i="1"/>
  <c r="C79" i="1"/>
  <c r="P79" i="1" s="1"/>
  <c r="C126" i="1"/>
  <c r="P126" i="1" s="1"/>
  <c r="P128" i="1"/>
  <c r="J172" i="1"/>
  <c r="O172" i="1"/>
  <c r="N172" i="1"/>
  <c r="F172" i="1"/>
  <c r="H172" i="1"/>
  <c r="C114" i="1" l="1"/>
  <c r="E172" i="1"/>
  <c r="P16" i="1"/>
  <c r="P86" i="1"/>
  <c r="P89" i="1"/>
  <c r="P54" i="1"/>
  <c r="C84" i="1"/>
  <c r="C174" i="1" s="1"/>
  <c r="P51" i="1"/>
  <c r="P65" i="1"/>
  <c r="P84" i="1" s="1"/>
  <c r="P67" i="1"/>
  <c r="P63" i="1" s="1"/>
  <c r="P155" i="1"/>
  <c r="P118" i="1"/>
  <c r="P116" i="1" s="1"/>
  <c r="P123" i="1"/>
  <c r="P142" i="1"/>
  <c r="P138" i="1" s="1"/>
  <c r="P21" i="1"/>
  <c r="P19" i="1" s="1"/>
  <c r="P23" i="1"/>
  <c r="P94" i="1"/>
  <c r="P110" i="1" s="1"/>
  <c r="P96" i="1"/>
  <c r="C153" i="1"/>
  <c r="C108" i="1"/>
  <c r="C92" i="1"/>
  <c r="C112" i="1"/>
  <c r="P82" i="1" l="1"/>
  <c r="C172" i="1"/>
  <c r="C82" i="1"/>
  <c r="P114" i="1"/>
  <c r="P112" i="1" s="1"/>
  <c r="P108" i="1"/>
  <c r="P92" i="1"/>
  <c r="P174" i="1" l="1"/>
  <c r="P172" i="1" s="1"/>
</calcChain>
</file>

<file path=xl/sharedStrings.xml><?xml version="1.0" encoding="utf-8"?>
<sst xmlns="http://schemas.openxmlformats.org/spreadsheetml/2006/main" count="227" uniqueCount="91">
  <si>
    <t>Наименование объектов</t>
  </si>
  <si>
    <t>Электроэнергия</t>
  </si>
  <si>
    <t>Отопление</t>
  </si>
  <si>
    <t xml:space="preserve">ГВС                 </t>
  </si>
  <si>
    <t>Холодная вода</t>
  </si>
  <si>
    <t>Водоотведение</t>
  </si>
  <si>
    <t>Гкал.</t>
  </si>
  <si>
    <t>тыс.</t>
  </si>
  <si>
    <t>куб. м.</t>
  </si>
  <si>
    <t>МУНИЦИПАЛЬНОЕ УПРАВЛЕНИЕ</t>
  </si>
  <si>
    <t>ОБРАЗОВАНИЕ</t>
  </si>
  <si>
    <t>в том числе:</t>
  </si>
  <si>
    <t>КУЛЬТУРА</t>
  </si>
  <si>
    <t>СРЕДСТВА МАССОВОЙ ИНФОРМАЦИИ</t>
  </si>
  <si>
    <t>ПРОЧИЕ</t>
  </si>
  <si>
    <t>п. Стекольный</t>
  </si>
  <si>
    <t>п. Талая</t>
  </si>
  <si>
    <t>кВт/час</t>
  </si>
  <si>
    <t>п. Палатка</t>
  </si>
  <si>
    <t>ВСЕГО ПО ОКРУГУ:</t>
  </si>
  <si>
    <t>№ п/п</t>
  </si>
  <si>
    <t>Наименование показателя</t>
  </si>
  <si>
    <t>Населенный пункт</t>
  </si>
  <si>
    <t>Тепловая энергия</t>
  </si>
  <si>
    <t>с. Хасын</t>
  </si>
  <si>
    <t>Водоснабжение (Холодная вода)</t>
  </si>
  <si>
    <t>Водоотведение (Вывоз ЖБО)</t>
  </si>
  <si>
    <t>Электроснабжение (ДЭС)</t>
  </si>
  <si>
    <t>СПОРТ</t>
  </si>
  <si>
    <t>Фонтаны, водопад</t>
  </si>
  <si>
    <t>вывоз ТКО</t>
  </si>
  <si>
    <t>Вывоз ТКО</t>
  </si>
  <si>
    <t>п. Хасын</t>
  </si>
  <si>
    <t>к постановлению Администрации</t>
  </si>
  <si>
    <t>Здание Администрации Хасынского муниципального округа Магаданской области , п. Палатка, ул. Ленина, д. 76</t>
  </si>
  <si>
    <t>Собрание представителей Хасынского муниципального округа Магаданской области, , п. Палатка,  ул. Центральная, д. 24</t>
  </si>
  <si>
    <t xml:space="preserve">Отдел ЗАГС Администрации Хасынского муниципального округа Магаданской области, п. Палатка, ул. Космонавтов, д. 11  </t>
  </si>
  <si>
    <t xml:space="preserve">БАНЯ , п. Палатка, ул. Пионерская, д. 24            </t>
  </si>
  <si>
    <t>Муниципальное бюджетное учреждение культуры «Дом культуры пос. Стекольный», п. Стекольный, ул. Советская, д. 7</t>
  </si>
  <si>
    <t>Муниципальное бюджетное учреждение культуры «Хасынская централизованная библиотечная система», п. Палатка, ул. Юбилейная, д. 10</t>
  </si>
  <si>
    <t>Центральная библиотека                        п. Палатка, ул. Юбилейная, д. 10</t>
  </si>
  <si>
    <t>Библиотека-филиал № 1 п. Стекольный</t>
  </si>
  <si>
    <t>Библиотека-филиал № 2 п. Талая</t>
  </si>
  <si>
    <t>Пункт выдачи в п. Хасын</t>
  </si>
  <si>
    <t>Муниципальное бюджетное учреждение дополнительного образования 
«Хасынская спортивная школа»
п. Палатка, ул. Почтовая, д. 1</t>
  </si>
  <si>
    <t>Муниципальное казенное учреждение Физкультурно-оздоровительный комплекс с плавательным бассейном «Арбат»,
п. Палатка, ул. Почтовая, д. 4</t>
  </si>
  <si>
    <t xml:space="preserve">Муниципальное автономное учреждение «Редакция газеты «Заря Севера» Хасынского муниципального округа», п. Палатка, ул. Центральная, д. 30                                              </t>
  </si>
  <si>
    <t>Лимиты потребления энергоресурсов и коммунальных услуг на 2026 год</t>
  </si>
  <si>
    <t>Тарифы на 2026 год</t>
  </si>
  <si>
    <t>тыс.      рублей</t>
  </si>
  <si>
    <t>рублей</t>
  </si>
  <si>
    <t>тыс. рублей</t>
  </si>
  <si>
    <t>Итого, тыс. рублей</t>
  </si>
  <si>
    <t xml:space="preserve">     Хасынского муниципального </t>
  </si>
  <si>
    <t xml:space="preserve">     округа Магаданской области</t>
  </si>
  <si>
    <t xml:space="preserve">       от _____________ № ____</t>
  </si>
  <si>
    <t>ГАРАЖИ (п. Палатка: ул. Юбилейная, д. 21, д. 25, ул. Школьная, д. 5, ул. Юбилейная, д. 16, ул. Ленина, д. 74, д. 76)</t>
  </si>
  <si>
    <t xml:space="preserve">              Приложение № 1</t>
  </si>
  <si>
    <t>9 мес (без НДС)</t>
  </si>
  <si>
    <t>4й кв (без НДС)</t>
  </si>
  <si>
    <t>Муниципальное бюджетное учреждение дополнительного образования 
«Хасынская спортивная школа» Лига, п. Палатка, ул. Почтовая, д. 1</t>
  </si>
  <si>
    <t>ВСЕГО ОБРАЗОВАНИЕ:</t>
  </si>
  <si>
    <t>ВСЕГО КУЛЬТУРА:</t>
  </si>
  <si>
    <t>ВСЕГО СПОРТ:</t>
  </si>
  <si>
    <t>Управление имущественных и земельных отношений Хасынского 
муниципального округа Магаданской области                                  (пустующий жилфонд)</t>
  </si>
  <si>
    <t>Управление жизнеобеспечения территории Администрации 
Хасынского муниципального округа Магаданской области                                (уличное освещение)</t>
  </si>
  <si>
    <t>Муниципальное казенное учреждение Физкультурно-оздоровительный комплекс с плавательным бассейном «Арбат», п. Палатка, ул. Почтовая, д. 7</t>
  </si>
  <si>
    <t>Муниципальное казенное учреждение «Управление по обеспечению деятельности органов местного самоуправления Хасынского муниципального округа Магаданской области», п. Палатка, ул. Юбилейная, д. 16</t>
  </si>
  <si>
    <t>Муниципальное бюджетное дошкольное образовательное учреждение «Детский сад № 1», п. Палатка, ул. Юбилейная, д. 16а</t>
  </si>
  <si>
    <t xml:space="preserve">Муниципальное бюджетное дошкольное образовательное учреждение «Светлячок», п. Стекольный, ул. Зеленая, д. 18        </t>
  </si>
  <si>
    <t>Муниципальное бюджетное дошкольное образовательное учреждение «Детский сад» п. Хасын, ул. Геологов, д. 39</t>
  </si>
  <si>
    <t xml:space="preserve">Муниципальное бюджетное образовательное учреждение «СОШ № 1» п. Палатка, ул. Ленина, д. 44                         </t>
  </si>
  <si>
    <t>Муниципальное бюджетное образовательное учреждение «СОШ» п. Стекольный, ул. Советская, д. 10</t>
  </si>
  <si>
    <t>Муниципальное бюджетное образовательное учреждение «СОШ» п. Талая, ул. Зеленая, д. 4</t>
  </si>
  <si>
    <t>Муниципальное бюджетное учреждение дополнительного образования «Хасынский центр детского творчества», п. Палатка, ул. Школьная, д. 7</t>
  </si>
  <si>
    <t>Муниципальное бюджетное учреждение культуры «Дом культуры Хасынского муниципального округа Магаданской области», п. Палатка, ул. Ленина, д. 80</t>
  </si>
  <si>
    <t>Муниципальное бюджетное учреждение дополнительного образования 
«Хасынская спортивная школа» Балок футбольный (стадион)              п. Палатка, ул. Юбилейная</t>
  </si>
  <si>
    <t>Муниципальное бюджетное учреждение дополнительного образования 
«Хасынская спортивная школа» Лыжная база, п. Палатка, ул. Ленина, д. 74</t>
  </si>
  <si>
    <t>Муниципальное бюджетное учреждение дополнительного образования 
«Хасынская спортивная школа» Хоккейна площадка, п.  Палатка, ул. Заречная</t>
  </si>
  <si>
    <t>Муниципальное бюджетное учреждение дополнительного образования 
«Хасынская спортивная школа» Лыжная база (Хасын), п. Хасын, ул. Геологов, д. 39</t>
  </si>
  <si>
    <t>Муниципальное бюджетное учреждение дополнительного образования 
«Хасынская спортивная школа» Хоккейная площадка Балок 1,             п. Хасын, ул. Цареградского</t>
  </si>
  <si>
    <t>9 месяцев</t>
  </si>
  <si>
    <t xml:space="preserve">3 месяца </t>
  </si>
  <si>
    <t>Муниципальное казенное учреждение «Централизованная бухгалтерия 
Хасынского муниципального округа Магаданской области»
п. Палатка, ул. Ленина, д. 74</t>
  </si>
  <si>
    <t>Муниципальное бюджетное образовательное учреждение «СОШ № 2» п. Палатка</t>
  </si>
  <si>
    <t>Муниципальное бюджетное образовательное учреждение «СОШ № 2» п. Палатка, ул. Ленина, д. 1</t>
  </si>
  <si>
    <t>Муниципальное бюджетное образовательное учреждение «СОШ № 2» п. Палатка, ул. Ленина, д. 62</t>
  </si>
  <si>
    <t>Территориальный отдел п. Талая Администрации Хасынского 
муниципального округа Магаданской области
п. Талая, ул. Зеленая, д. 6</t>
  </si>
  <si>
    <t>Территориальный отдел п. Стекольный Администрации 
Хасынского муниципального округа Магаданской области
п. Стекольный, ул. Советская, д. 5</t>
  </si>
  <si>
    <t>Здание Муниципального казенного учреждения «Управление по обеспечению деятельности органов местного самоуправления Хасынского муниципального округа Магаданской области», п. Палатка, ул. Юбилейная, д. 16</t>
  </si>
  <si>
    <t>Муниципальное казенное учреждение Физкультурно-оздоровительный комплекс с плавательным бассейном «Арбат», п. Палатка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</si>
</sst>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11"/>
      <color rgb="FF9C650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2" borderId="0" applyNumberFormat="0" applyBorder="0" applyAlignment="0" applyProtection="0"/>
  </cellStyleXfs>
  <cellXfs count="113">
    <xf numFmtId="0" fontId="0" fillId="0" borderId="0" xfId="0"/>
    <xf numFmtId="4" fontId="4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6" fillId="0" borderId="0" xfId="0" applyFont="1"/>
    <xf numFmtId="0" fontId="2" fillId="3" borderId="2" xfId="0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7" fillId="4" borderId="19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2" fillId="5" borderId="22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4" fontId="4" fillId="7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4" fillId="6" borderId="17" xfId="0" applyNumberFormat="1" applyFont="1" applyFill="1" applyBorder="1" applyAlignment="1">
      <alignment horizontal="center" vertical="center"/>
    </xf>
    <xf numFmtId="4" fontId="4" fillId="7" borderId="21" xfId="0" applyNumberFormat="1" applyFont="1" applyFill="1" applyBorder="1" applyAlignment="1">
      <alignment horizontal="center" vertical="center"/>
    </xf>
    <xf numFmtId="4" fontId="4" fillId="7" borderId="17" xfId="0" applyNumberFormat="1" applyFont="1" applyFill="1" applyBorder="1" applyAlignment="1">
      <alignment horizontal="center" vertical="center"/>
    </xf>
    <xf numFmtId="4" fontId="12" fillId="7" borderId="17" xfId="0" applyNumberFormat="1" applyFont="1" applyFill="1" applyBorder="1" applyAlignment="1">
      <alignment horizontal="center" vertical="center"/>
    </xf>
    <xf numFmtId="4" fontId="12" fillId="7" borderId="21" xfId="0" applyNumberFormat="1" applyFont="1" applyFill="1" applyBorder="1" applyAlignment="1">
      <alignment horizontal="center" vertical="center"/>
    </xf>
    <xf numFmtId="4" fontId="4" fillId="7" borderId="2" xfId="0" applyNumberFormat="1" applyFont="1" applyFill="1" applyBorder="1" applyAlignment="1">
      <alignment horizontal="center" vertical="center"/>
    </xf>
    <xf numFmtId="4" fontId="4" fillId="7" borderId="18" xfId="0" applyNumberFormat="1" applyFont="1" applyFill="1" applyBorder="1" applyAlignment="1">
      <alignment horizontal="center" vertical="center"/>
    </xf>
    <xf numFmtId="4" fontId="4" fillId="7" borderId="12" xfId="0" applyNumberFormat="1" applyFont="1" applyFill="1" applyBorder="1" applyAlignment="1">
      <alignment horizontal="center" vertical="center"/>
    </xf>
    <xf numFmtId="165" fontId="9" fillId="0" borderId="17" xfId="1" applyNumberFormat="1" applyFont="1" applyFill="1" applyBorder="1" applyAlignment="1">
      <alignment vertical="center" wrapText="1"/>
    </xf>
    <xf numFmtId="164" fontId="10" fillId="0" borderId="0" xfId="1" applyNumberFormat="1" applyFont="1" applyFill="1" applyBorder="1"/>
    <xf numFmtId="164" fontId="10" fillId="0" borderId="27" xfId="0" applyNumberFormat="1" applyFont="1" applyBorder="1"/>
    <xf numFmtId="164" fontId="10" fillId="0" borderId="0" xfId="0" applyNumberFormat="1" applyFont="1"/>
    <xf numFmtId="164" fontId="9" fillId="0" borderId="29" xfId="0" applyNumberFormat="1" applyFont="1" applyBorder="1" applyAlignment="1">
      <alignment vertical="center"/>
    </xf>
    <xf numFmtId="164" fontId="9" fillId="0" borderId="0" xfId="0" applyNumberFormat="1" applyFont="1"/>
    <xf numFmtId="164" fontId="9" fillId="0" borderId="0" xfId="0" applyNumberFormat="1" applyFont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64" fontId="9" fillId="0" borderId="4" xfId="0" applyNumberFormat="1" applyFont="1" applyBorder="1" applyAlignment="1">
      <alignment horizontal="center" vertical="center" wrapText="1"/>
    </xf>
    <xf numFmtId="1" fontId="9" fillId="0" borderId="29" xfId="0" applyNumberFormat="1" applyFont="1" applyBorder="1" applyAlignment="1">
      <alignment vertical="center"/>
    </xf>
    <xf numFmtId="1" fontId="9" fillId="0" borderId="5" xfId="0" applyNumberFormat="1" applyFont="1" applyBorder="1" applyAlignment="1">
      <alignment horizontal="center" vertical="center" wrapText="1"/>
    </xf>
    <xf numFmtId="1" fontId="9" fillId="0" borderId="6" xfId="0" applyNumberFormat="1" applyFont="1" applyBorder="1" applyAlignment="1">
      <alignment horizontal="center" vertical="center" wrapText="1"/>
    </xf>
    <xf numFmtId="165" fontId="9" fillId="0" borderId="30" xfId="0" applyNumberFormat="1" applyFont="1" applyBorder="1" applyAlignment="1">
      <alignment vertical="center" wrapText="1" shrinkToFit="1"/>
    </xf>
    <xf numFmtId="165" fontId="9" fillId="0" borderId="31" xfId="0" applyNumberFormat="1" applyFont="1" applyBorder="1" applyAlignment="1">
      <alignment horizontal="center" vertical="center" wrapText="1"/>
    </xf>
    <xf numFmtId="165" fontId="9" fillId="0" borderId="32" xfId="0" applyNumberFormat="1" applyFont="1" applyBorder="1" applyAlignment="1">
      <alignment horizontal="center" vertical="center" wrapText="1"/>
    </xf>
    <xf numFmtId="164" fontId="10" fillId="0" borderId="0" xfId="0" applyNumberFormat="1" applyFont="1" applyAlignment="1">
      <alignment horizontal="center" vertical="center"/>
    </xf>
    <xf numFmtId="165" fontId="9" fillId="0" borderId="17" xfId="0" applyNumberFormat="1" applyFont="1" applyBorder="1" applyAlignment="1">
      <alignment horizontal="right" vertical="center" wrapText="1" indent="1" shrinkToFit="1"/>
    </xf>
    <xf numFmtId="165" fontId="9" fillId="0" borderId="1" xfId="0" applyNumberFormat="1" applyFont="1" applyBorder="1" applyAlignment="1">
      <alignment horizontal="center" vertical="center" wrapText="1"/>
    </xf>
    <xf numFmtId="165" fontId="9" fillId="0" borderId="21" xfId="0" applyNumberFormat="1" applyFont="1" applyBorder="1" applyAlignment="1">
      <alignment horizontal="center" vertical="center" wrapText="1"/>
    </xf>
    <xf numFmtId="165" fontId="9" fillId="0" borderId="12" xfId="0" applyNumberFormat="1" applyFont="1" applyBorder="1" applyAlignment="1">
      <alignment horizontal="right" vertical="center" wrapText="1" indent="1" shrinkToFit="1"/>
    </xf>
    <xf numFmtId="165" fontId="9" fillId="0" borderId="2" xfId="0" applyNumberFormat="1" applyFont="1" applyBorder="1" applyAlignment="1">
      <alignment horizontal="center" vertical="center" wrapText="1"/>
    </xf>
    <xf numFmtId="165" fontId="9" fillId="0" borderId="33" xfId="0" applyNumberFormat="1" applyFont="1" applyBorder="1" applyAlignment="1">
      <alignment horizontal="center" vertical="center" wrapText="1"/>
    </xf>
    <xf numFmtId="165" fontId="9" fillId="0" borderId="17" xfId="0" applyNumberFormat="1" applyFont="1" applyBorder="1" applyAlignment="1">
      <alignment horizontal="right" vertical="center" wrapText="1" shrinkToFit="1"/>
    </xf>
    <xf numFmtId="165" fontId="9" fillId="0" borderId="17" xfId="0" applyNumberFormat="1" applyFont="1" applyBorder="1" applyAlignment="1">
      <alignment vertical="center" wrapText="1" shrinkToFit="1"/>
    </xf>
    <xf numFmtId="164" fontId="10" fillId="0" borderId="1" xfId="0" applyNumberFormat="1" applyFont="1" applyBorder="1"/>
    <xf numFmtId="165" fontId="9" fillId="0" borderId="12" xfId="0" applyNumberFormat="1" applyFont="1" applyBorder="1" applyAlignment="1">
      <alignment horizontal="right" vertical="center" wrapText="1" shrinkToFit="1"/>
    </xf>
    <xf numFmtId="165" fontId="9" fillId="0" borderId="34" xfId="0" applyNumberFormat="1" applyFont="1" applyBorder="1" applyAlignment="1">
      <alignment horizontal="right" vertical="center" wrapText="1" shrinkToFit="1"/>
    </xf>
    <xf numFmtId="165" fontId="9" fillId="0" borderId="18" xfId="0" applyNumberFormat="1" applyFont="1" applyBorder="1" applyAlignment="1">
      <alignment horizontal="center" vertical="center" wrapText="1"/>
    </xf>
    <xf numFmtId="165" fontId="9" fillId="0" borderId="35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/>
    </xf>
    <xf numFmtId="164" fontId="9" fillId="0" borderId="21" xfId="0" applyNumberFormat="1" applyFont="1" applyBorder="1" applyAlignment="1">
      <alignment horizontal="center" vertical="center"/>
    </xf>
    <xf numFmtId="165" fontId="9" fillId="0" borderId="36" xfId="0" applyNumberFormat="1" applyFont="1" applyBorder="1" applyAlignment="1">
      <alignment vertical="center" wrapText="1" shrinkToFit="1"/>
    </xf>
    <xf numFmtId="165" fontId="9" fillId="0" borderId="25" xfId="0" applyNumberFormat="1" applyFont="1" applyBorder="1" applyAlignment="1">
      <alignment horizontal="center" vertical="center" wrapText="1"/>
    </xf>
    <xf numFmtId="165" fontId="9" fillId="0" borderId="25" xfId="0" applyNumberFormat="1" applyFont="1" applyBorder="1" applyAlignment="1">
      <alignment vertical="center" wrapText="1"/>
    </xf>
    <xf numFmtId="165" fontId="9" fillId="0" borderId="1" xfId="0" applyNumberFormat="1" applyFont="1" applyBorder="1" applyAlignment="1">
      <alignment horizontal="right" vertical="center" wrapText="1" shrinkToFit="1"/>
    </xf>
    <xf numFmtId="165" fontId="9" fillId="0" borderId="18" xfId="0" applyNumberFormat="1" applyFont="1" applyBorder="1" applyAlignment="1">
      <alignment horizontal="right" vertical="center" wrapText="1" shrinkToFit="1"/>
    </xf>
    <xf numFmtId="165" fontId="9" fillId="0" borderId="25" xfId="0" applyNumberFormat="1" applyFont="1" applyBorder="1" applyAlignment="1">
      <alignment vertical="center" wrapText="1" shrinkToFit="1"/>
    </xf>
    <xf numFmtId="165" fontId="9" fillId="0" borderId="1" xfId="0" applyNumberFormat="1" applyFont="1" applyBorder="1" applyAlignment="1">
      <alignment vertical="center" wrapText="1" shrinkToFit="1"/>
    </xf>
    <xf numFmtId="165" fontId="9" fillId="0" borderId="17" xfId="0" applyNumberFormat="1" applyFont="1" applyBorder="1" applyAlignment="1">
      <alignment vertical="center" wrapText="1"/>
    </xf>
    <xf numFmtId="165" fontId="9" fillId="0" borderId="30" xfId="0" applyNumberFormat="1" applyFont="1" applyBorder="1" applyAlignment="1">
      <alignment vertical="center" wrapText="1"/>
    </xf>
    <xf numFmtId="0" fontId="9" fillId="0" borderId="17" xfId="0" applyFont="1" applyBorder="1" applyAlignment="1">
      <alignment vertical="center" wrapText="1" shrinkToFit="1"/>
    </xf>
    <xf numFmtId="0" fontId="9" fillId="0" borderId="1" xfId="0" applyFont="1" applyBorder="1" applyAlignment="1">
      <alignment horizontal="center" vertical="center" wrapText="1" shrinkToFit="1"/>
    </xf>
    <xf numFmtId="164" fontId="9" fillId="0" borderId="1" xfId="0" applyNumberFormat="1" applyFont="1" applyBorder="1" applyAlignment="1">
      <alignment horizontal="center" vertical="center" wrapText="1" shrinkToFit="1"/>
    </xf>
    <xf numFmtId="164" fontId="9" fillId="0" borderId="1" xfId="0" applyNumberFormat="1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 shrinkToFit="1"/>
    </xf>
    <xf numFmtId="165" fontId="9" fillId="0" borderId="17" xfId="0" applyNumberFormat="1" applyFont="1" applyBorder="1" applyAlignment="1">
      <alignment horizontal="left" vertical="center" wrapText="1" shrinkToFit="1"/>
    </xf>
    <xf numFmtId="165" fontId="9" fillId="0" borderId="1" xfId="0" applyNumberFormat="1" applyFont="1" applyBorder="1" applyAlignment="1">
      <alignment horizontal="left" vertical="center" wrapText="1" shrinkToFit="1"/>
    </xf>
    <xf numFmtId="165" fontId="9" fillId="0" borderId="21" xfId="0" applyNumberFormat="1" applyFont="1" applyBorder="1" applyAlignment="1">
      <alignment horizontal="left" vertical="center" wrapText="1" shrinkToFit="1"/>
    </xf>
    <xf numFmtId="164" fontId="9" fillId="0" borderId="0" xfId="0" applyNumberFormat="1" applyFont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164" fontId="9" fillId="0" borderId="13" xfId="0" applyNumberFormat="1" applyFont="1" applyBorder="1" applyAlignment="1">
      <alignment horizontal="center" vertical="center" wrapText="1"/>
    </xf>
    <xf numFmtId="164" fontId="9" fillId="0" borderId="10" xfId="0" applyNumberFormat="1" applyFont="1" applyBorder="1" applyAlignment="1">
      <alignment horizontal="center" vertical="center" wrapText="1"/>
    </xf>
    <xf numFmtId="164" fontId="9" fillId="0" borderId="6" xfId="0" applyNumberFormat="1" applyFont="1" applyBorder="1" applyAlignment="1">
      <alignment horizontal="center" vertical="center" wrapText="1"/>
    </xf>
    <xf numFmtId="164" fontId="9" fillId="0" borderId="11" xfId="0" applyNumberFormat="1" applyFont="1" applyBorder="1" applyAlignment="1">
      <alignment horizontal="center" vertical="center" wrapText="1"/>
    </xf>
    <xf numFmtId="164" fontId="9" fillId="0" borderId="16" xfId="0" applyNumberFormat="1" applyFont="1" applyBorder="1" applyAlignment="1">
      <alignment horizontal="center" vertical="center" wrapText="1"/>
    </xf>
    <xf numFmtId="164" fontId="9" fillId="0" borderId="29" xfId="0" applyNumberFormat="1" applyFont="1" applyBorder="1" applyAlignment="1">
      <alignment horizontal="center" vertical="center"/>
    </xf>
    <xf numFmtId="164" fontId="9" fillId="0" borderId="14" xfId="0" applyNumberFormat="1" applyFont="1" applyBorder="1" applyAlignment="1">
      <alignment horizontal="center" vertical="center" wrapText="1"/>
    </xf>
    <xf numFmtId="165" fontId="9" fillId="0" borderId="8" xfId="0" applyNumberFormat="1" applyFont="1" applyBorder="1" applyAlignment="1">
      <alignment horizontal="center" vertical="center" wrapText="1"/>
    </xf>
    <xf numFmtId="165" fontId="9" fillId="0" borderId="9" xfId="0" applyNumberFormat="1" applyFont="1" applyBorder="1" applyAlignment="1">
      <alignment horizontal="center" vertical="center" wrapText="1"/>
    </xf>
    <xf numFmtId="165" fontId="9" fillId="0" borderId="37" xfId="0" applyNumberFormat="1" applyFont="1" applyBorder="1" applyAlignment="1">
      <alignment horizontal="center" vertical="center" wrapText="1"/>
    </xf>
    <xf numFmtId="165" fontId="9" fillId="0" borderId="17" xfId="0" applyNumberFormat="1" applyFont="1" applyBorder="1" applyAlignment="1">
      <alignment horizontal="left" vertical="center" wrapText="1"/>
    </xf>
    <xf numFmtId="165" fontId="11" fillId="0" borderId="1" xfId="0" applyNumberFormat="1" applyFont="1" applyBorder="1" applyAlignment="1">
      <alignment horizontal="left" vertical="center" wrapText="1"/>
    </xf>
    <xf numFmtId="165" fontId="11" fillId="0" borderId="21" xfId="0" applyNumberFormat="1" applyFont="1" applyBorder="1" applyAlignment="1">
      <alignment horizontal="left" vertical="center" wrapText="1"/>
    </xf>
    <xf numFmtId="164" fontId="9" fillId="0" borderId="13" xfId="0" applyNumberFormat="1" applyFont="1" applyBorder="1" applyAlignment="1">
      <alignment vertical="center" wrapText="1"/>
    </xf>
    <xf numFmtId="164" fontId="9" fillId="0" borderId="16" xfId="0" applyNumberFormat="1" applyFont="1" applyBorder="1" applyAlignment="1">
      <alignment vertical="center" wrapText="1"/>
    </xf>
    <xf numFmtId="164" fontId="9" fillId="0" borderId="10" xfId="0" applyNumberFormat="1" applyFont="1" applyBorder="1" applyAlignment="1">
      <alignment vertical="center" wrapText="1"/>
    </xf>
    <xf numFmtId="164" fontId="9" fillId="0" borderId="15" xfId="0" applyNumberFormat="1" applyFont="1" applyBorder="1" applyAlignment="1">
      <alignment horizontal="center" vertical="center" wrapText="1"/>
    </xf>
    <xf numFmtId="164" fontId="9" fillId="0" borderId="27" xfId="0" applyNumberFormat="1" applyFont="1" applyBorder="1" applyAlignment="1">
      <alignment horizontal="center" vertical="center" wrapText="1"/>
    </xf>
    <xf numFmtId="164" fontId="9" fillId="0" borderId="28" xfId="0" applyNumberFormat="1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left" vertical="center" wrapText="1"/>
    </xf>
    <xf numFmtId="165" fontId="9" fillId="0" borderId="21" xfId="0" applyNumberFormat="1" applyFont="1" applyBorder="1" applyAlignment="1">
      <alignment horizontal="left" vertical="center" wrapText="1"/>
    </xf>
    <xf numFmtId="165" fontId="10" fillId="0" borderId="37" xfId="0" applyNumberFormat="1" applyFont="1" applyBorder="1" applyAlignment="1">
      <alignment horizontal="center" vertical="center" wrapText="1"/>
    </xf>
    <xf numFmtId="165" fontId="9" fillId="0" borderId="18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164" fontId="9" fillId="0" borderId="0" xfId="0" applyNumberFormat="1" applyFont="1" applyBorder="1" applyAlignment="1">
      <alignment vertical="center"/>
    </xf>
    <xf numFmtId="164" fontId="9" fillId="0" borderId="0" xfId="0" applyNumberFormat="1" applyFont="1" applyBorder="1"/>
    <xf numFmtId="164" fontId="9" fillId="0" borderId="0" xfId="0" applyNumberFormat="1" applyFont="1" applyBorder="1" applyAlignment="1">
      <alignment horizontal="center" vertical="center"/>
    </xf>
    <xf numFmtId="164" fontId="10" fillId="0" borderId="0" xfId="0" applyNumberFormat="1" applyFont="1" applyBorder="1"/>
  </cellXfs>
  <cellStyles count="2">
    <cellStyle name="Нейтральный" xfId="1" builtinId="2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G178"/>
  <sheetViews>
    <sheetView tabSelected="1" zoomScale="80" zoomScaleNormal="80" workbookViewId="0">
      <pane xSplit="12" ySplit="16" topLeftCell="M148" activePane="bottomRight" state="frozen"/>
      <selection pane="topRight" activeCell="M1" sqref="M1"/>
      <selection pane="bottomLeft" activeCell="A17" sqref="A17"/>
      <selection pane="bottomRight" activeCell="C5" sqref="C5"/>
    </sheetView>
  </sheetViews>
  <sheetFormatPr defaultRowHeight="18.75" x14ac:dyDescent="0.3"/>
  <cols>
    <col min="1" max="1" width="49.42578125" style="29" customWidth="1"/>
    <col min="2" max="2" width="12.42578125" style="30" customWidth="1"/>
    <col min="3" max="3" width="15" style="30" customWidth="1"/>
    <col min="4" max="4" width="12.42578125" style="30" customWidth="1"/>
    <col min="5" max="5" width="13" style="30" bestFit="1" customWidth="1"/>
    <col min="6" max="6" width="12.42578125" style="30" customWidth="1"/>
    <col min="7" max="7" width="12.42578125" style="30" bestFit="1" customWidth="1"/>
    <col min="8" max="8" width="12.42578125" style="30" customWidth="1"/>
    <col min="9" max="9" width="12.42578125" style="30" bestFit="1" customWidth="1"/>
    <col min="10" max="10" width="13.85546875" style="30" customWidth="1"/>
    <col min="11" max="11" width="13.85546875" style="30" bestFit="1" customWidth="1"/>
    <col min="12" max="12" width="13.85546875" style="30" customWidth="1"/>
    <col min="13" max="13" width="13.85546875" style="30" bestFit="1" customWidth="1"/>
    <col min="14" max="14" width="16.42578125" style="30" customWidth="1"/>
    <col min="15" max="15" width="16.140625" style="30" bestFit="1" customWidth="1"/>
    <col min="16" max="16" width="19.5703125" style="30" customWidth="1"/>
    <col min="17" max="17" width="12.42578125" style="28" bestFit="1" customWidth="1"/>
    <col min="18" max="18" width="11.85546875" style="28" bestFit="1" customWidth="1"/>
    <col min="19" max="19" width="9.140625" style="28"/>
    <col min="20" max="20" width="14" style="28" customWidth="1"/>
    <col min="21" max="21" width="25.7109375" style="28" customWidth="1"/>
    <col min="22" max="16384" width="9.140625" style="28"/>
  </cols>
  <sheetData>
    <row r="1" spans="1:189" s="27" customFormat="1" x14ac:dyDescent="0.3">
      <c r="A1" s="109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 t="s">
        <v>57</v>
      </c>
      <c r="O1" s="110"/>
      <c r="P1" s="110"/>
      <c r="Q1" s="112"/>
      <c r="R1" s="112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</row>
    <row r="2" spans="1:189" x14ac:dyDescent="0.3">
      <c r="A2" s="109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 t="s">
        <v>33</v>
      </c>
      <c r="O2" s="110"/>
      <c r="P2" s="110"/>
      <c r="Q2" s="112"/>
      <c r="R2" s="112"/>
    </row>
    <row r="3" spans="1:189" x14ac:dyDescent="0.3">
      <c r="A3" s="109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 t="s">
        <v>53</v>
      </c>
      <c r="O3" s="110"/>
      <c r="P3" s="110"/>
      <c r="Q3" s="112"/>
      <c r="R3" s="112"/>
    </row>
    <row r="4" spans="1:189" x14ac:dyDescent="0.3">
      <c r="A4" s="109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 t="s">
        <v>54</v>
      </c>
      <c r="O4" s="110"/>
      <c r="P4" s="110"/>
      <c r="Q4" s="112"/>
      <c r="R4" s="112"/>
    </row>
    <row r="5" spans="1:189" x14ac:dyDescent="0.3">
      <c r="A5" s="109"/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 t="s">
        <v>55</v>
      </c>
      <c r="O5" s="110"/>
      <c r="P5" s="110"/>
      <c r="Q5" s="112"/>
      <c r="R5" s="112"/>
    </row>
    <row r="6" spans="1:189" x14ac:dyDescent="0.3">
      <c r="A6" s="109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2"/>
      <c r="R6" s="112"/>
    </row>
    <row r="7" spans="1:189" x14ac:dyDescent="0.3">
      <c r="A7" s="109"/>
      <c r="B7" s="110"/>
      <c r="C7" s="110"/>
      <c r="D7" s="110"/>
      <c r="E7" s="110"/>
      <c r="F7" s="110"/>
      <c r="G7" s="110"/>
      <c r="H7" s="110"/>
      <c r="I7" s="110"/>
      <c r="J7" s="111"/>
      <c r="K7" s="111"/>
      <c r="L7" s="111"/>
      <c r="M7" s="111"/>
      <c r="N7" s="111"/>
      <c r="O7" s="111"/>
      <c r="P7" s="111"/>
      <c r="Q7" s="112"/>
      <c r="R7" s="112"/>
    </row>
    <row r="8" spans="1:189" x14ac:dyDescent="0.3">
      <c r="A8" s="111"/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2"/>
      <c r="R8" s="112"/>
    </row>
    <row r="9" spans="1:189" x14ac:dyDescent="0.3">
      <c r="A9" s="80" t="s">
        <v>47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</row>
    <row r="10" spans="1:189" ht="19.5" thickBot="1" x14ac:dyDescent="0.35">
      <c r="J10" s="74"/>
      <c r="K10" s="74"/>
      <c r="L10" s="74"/>
      <c r="M10" s="74"/>
      <c r="N10" s="74"/>
      <c r="O10" s="74"/>
      <c r="P10" s="74"/>
    </row>
    <row r="11" spans="1:189" ht="19.5" thickBot="1" x14ac:dyDescent="0.35">
      <c r="A11" s="88" t="s">
        <v>0</v>
      </c>
      <c r="B11" s="77" t="s">
        <v>1</v>
      </c>
      <c r="C11" s="78"/>
      <c r="D11" s="77" t="s">
        <v>2</v>
      </c>
      <c r="E11" s="78"/>
      <c r="F11" s="77" t="s">
        <v>3</v>
      </c>
      <c r="G11" s="81"/>
      <c r="H11" s="81"/>
      <c r="I11" s="78"/>
      <c r="J11" s="77" t="s">
        <v>4</v>
      </c>
      <c r="K11" s="78"/>
      <c r="L11" s="77" t="s">
        <v>5</v>
      </c>
      <c r="M11" s="78"/>
      <c r="N11" s="77" t="s">
        <v>30</v>
      </c>
      <c r="O11" s="78"/>
      <c r="P11" s="75" t="s">
        <v>52</v>
      </c>
    </row>
    <row r="12" spans="1:189" x14ac:dyDescent="0.3">
      <c r="A12" s="89"/>
      <c r="B12" s="32" t="s">
        <v>7</v>
      </c>
      <c r="C12" s="75" t="s">
        <v>49</v>
      </c>
      <c r="D12" s="75" t="s">
        <v>6</v>
      </c>
      <c r="E12" s="32" t="s">
        <v>7</v>
      </c>
      <c r="F12" s="75" t="s">
        <v>6</v>
      </c>
      <c r="G12" s="32" t="s">
        <v>7</v>
      </c>
      <c r="H12" s="75" t="s">
        <v>8</v>
      </c>
      <c r="I12" s="32" t="s">
        <v>7</v>
      </c>
      <c r="J12" s="75" t="s">
        <v>8</v>
      </c>
      <c r="K12" s="32" t="s">
        <v>7</v>
      </c>
      <c r="L12" s="75" t="s">
        <v>8</v>
      </c>
      <c r="M12" s="32" t="s">
        <v>7</v>
      </c>
      <c r="N12" s="75" t="s">
        <v>8</v>
      </c>
      <c r="O12" s="75" t="s">
        <v>51</v>
      </c>
      <c r="P12" s="79"/>
    </row>
    <row r="13" spans="1:189" ht="19.5" thickBot="1" x14ac:dyDescent="0.35">
      <c r="A13" s="90"/>
      <c r="B13" s="33" t="s">
        <v>17</v>
      </c>
      <c r="C13" s="76"/>
      <c r="D13" s="76"/>
      <c r="E13" s="33" t="s">
        <v>50</v>
      </c>
      <c r="F13" s="76"/>
      <c r="G13" s="33" t="s">
        <v>50</v>
      </c>
      <c r="H13" s="76"/>
      <c r="I13" s="33" t="s">
        <v>50</v>
      </c>
      <c r="J13" s="76"/>
      <c r="K13" s="33" t="s">
        <v>50</v>
      </c>
      <c r="L13" s="76"/>
      <c r="M13" s="33" t="s">
        <v>50</v>
      </c>
      <c r="N13" s="76"/>
      <c r="O13" s="76"/>
      <c r="P13" s="76"/>
    </row>
    <row r="14" spans="1:189" ht="19.5" thickBot="1" x14ac:dyDescent="0.35">
      <c r="A14" s="34">
        <v>1</v>
      </c>
      <c r="B14" s="35">
        <v>2</v>
      </c>
      <c r="C14" s="36">
        <v>3</v>
      </c>
      <c r="D14" s="35">
        <v>4</v>
      </c>
      <c r="E14" s="35">
        <v>5</v>
      </c>
      <c r="F14" s="35">
        <v>6</v>
      </c>
      <c r="G14" s="35">
        <v>7</v>
      </c>
      <c r="H14" s="35">
        <v>8</v>
      </c>
      <c r="I14" s="35">
        <v>9</v>
      </c>
      <c r="J14" s="35">
        <v>10</v>
      </c>
      <c r="K14" s="35">
        <v>11</v>
      </c>
      <c r="L14" s="35">
        <v>12</v>
      </c>
      <c r="M14" s="35">
        <v>13</v>
      </c>
      <c r="N14" s="35">
        <v>14</v>
      </c>
      <c r="O14" s="35">
        <v>15</v>
      </c>
      <c r="P14" s="36">
        <v>16</v>
      </c>
    </row>
    <row r="15" spans="1:189" ht="19.5" thickBot="1" x14ac:dyDescent="0.35">
      <c r="A15" s="91" t="s">
        <v>9</v>
      </c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3"/>
    </row>
    <row r="16" spans="1:189" ht="112.5" x14ac:dyDescent="0.3">
      <c r="A16" s="37" t="s">
        <v>83</v>
      </c>
      <c r="B16" s="38">
        <f t="shared" ref="B16:C16" si="0">B17+B18</f>
        <v>0</v>
      </c>
      <c r="C16" s="38">
        <f t="shared" si="0"/>
        <v>0</v>
      </c>
      <c r="D16" s="38">
        <f>D17+D18</f>
        <v>29.700000000000003</v>
      </c>
      <c r="E16" s="38">
        <f>E17+E18</f>
        <v>411.62775600000003</v>
      </c>
      <c r="F16" s="38">
        <f t="shared" ref="F16:I16" si="1">F17+F18</f>
        <v>0</v>
      </c>
      <c r="G16" s="38">
        <f t="shared" si="1"/>
        <v>0</v>
      </c>
      <c r="H16" s="38">
        <f t="shared" si="1"/>
        <v>0</v>
      </c>
      <c r="I16" s="38">
        <f t="shared" si="1"/>
        <v>0</v>
      </c>
      <c r="J16" s="38">
        <f>J17+J18</f>
        <v>35.6</v>
      </c>
      <c r="K16" s="38">
        <f>K17+K18-0.1</f>
        <v>3.7584988799999999</v>
      </c>
      <c r="L16" s="38">
        <f>L17+L18</f>
        <v>35.6</v>
      </c>
      <c r="M16" s="38">
        <f>M17+M18</f>
        <v>6.6605143600000005</v>
      </c>
      <c r="N16" s="38">
        <f>N17+N18</f>
        <v>27</v>
      </c>
      <c r="O16" s="38">
        <f>O17+O18</f>
        <v>16.291799999999999</v>
      </c>
      <c r="P16" s="39">
        <f>C16+E16+G16+I16+K16+M16+O16+0.1</f>
        <v>438.43856924000005</v>
      </c>
      <c r="Q16" s="40"/>
      <c r="R16" s="40"/>
    </row>
    <row r="17" spans="1:18" x14ac:dyDescent="0.3">
      <c r="A17" s="41" t="s">
        <v>81</v>
      </c>
      <c r="B17" s="42">
        <v>0</v>
      </c>
      <c r="C17" s="42">
        <f>B17*ТАРИФЫ!$F$16</f>
        <v>0</v>
      </c>
      <c r="D17" s="42">
        <v>22.3</v>
      </c>
      <c r="E17" s="42">
        <f>D17*ТАРИФЫ!$F$4/1000</f>
        <v>274.54118720000002</v>
      </c>
      <c r="F17" s="42">
        <v>0</v>
      </c>
      <c r="G17" s="42">
        <f>F17*ТАРИФЫ!$F$4/1000</f>
        <v>0</v>
      </c>
      <c r="H17" s="42">
        <v>0</v>
      </c>
      <c r="I17" s="42">
        <f>H17*ТАРИФЫ!$F$8/1000</f>
        <v>0</v>
      </c>
      <c r="J17" s="42">
        <v>26.7</v>
      </c>
      <c r="K17" s="42">
        <f>J17*ТАРИФЫ!$F$8/1000</f>
        <v>2.7280724999999997</v>
      </c>
      <c r="L17" s="42">
        <f>H17+J17</f>
        <v>26.7</v>
      </c>
      <c r="M17" s="42">
        <f>L17*ТАРИФЫ!$F$12/1000</f>
        <v>4.56329166</v>
      </c>
      <c r="N17" s="42">
        <v>20.2</v>
      </c>
      <c r="O17" s="42">
        <f>N17*ТАРИФЫ!$E$20/1000</f>
        <v>12.188679999999998</v>
      </c>
      <c r="P17" s="43">
        <f>C17+E17+G17+I17+K17+M17+O17</f>
        <v>294.02123136</v>
      </c>
      <c r="Q17" s="40"/>
      <c r="R17" s="40"/>
    </row>
    <row r="18" spans="1:18" ht="19.5" thickBot="1" x14ac:dyDescent="0.35">
      <c r="A18" s="44" t="s">
        <v>82</v>
      </c>
      <c r="B18" s="45">
        <v>0</v>
      </c>
      <c r="C18" s="45">
        <f>B18*ТАРИФЫ!$G$16</f>
        <v>0</v>
      </c>
      <c r="D18" s="45">
        <v>7.4</v>
      </c>
      <c r="E18" s="45">
        <f>D18*ТАРИФЫ!$G$4/1000</f>
        <v>137.08656880000001</v>
      </c>
      <c r="F18" s="45">
        <v>0</v>
      </c>
      <c r="G18" s="45">
        <f>F18*ТАРИФЫ!$G$4/1000</f>
        <v>0</v>
      </c>
      <c r="H18" s="45">
        <v>0</v>
      </c>
      <c r="I18" s="45">
        <f>H18*ТАРИФЫ!$G$8/1000</f>
        <v>0</v>
      </c>
      <c r="J18" s="45">
        <v>8.9</v>
      </c>
      <c r="K18" s="42">
        <f>J18*ТАРИФЫ!$G$8/1000</f>
        <v>1.1304263800000001</v>
      </c>
      <c r="L18" s="45">
        <f>H18+J18</f>
        <v>8.9</v>
      </c>
      <c r="M18" s="42">
        <f>L18*ТАРИФЫ!$G$12/1000</f>
        <v>2.0972227000000001</v>
      </c>
      <c r="N18" s="45">
        <v>6.8</v>
      </c>
      <c r="O18" s="42">
        <f>N18*ТАРИФЫ!$E$20/1000</f>
        <v>4.1031199999999997</v>
      </c>
      <c r="P18" s="46">
        <f>C18+E18+G18+I18+K18+M18+O18</f>
        <v>144.41733787999999</v>
      </c>
      <c r="Q18" s="40"/>
      <c r="R18" s="40"/>
    </row>
    <row r="19" spans="1:18" ht="131.25" x14ac:dyDescent="0.3">
      <c r="A19" s="37" t="s">
        <v>67</v>
      </c>
      <c r="B19" s="38">
        <f t="shared" ref="B19:M19" si="2">B20+B21</f>
        <v>238.7</v>
      </c>
      <c r="C19" s="38">
        <f>C20+C21+0.1</f>
        <v>2878.0309871999998</v>
      </c>
      <c r="D19" s="38">
        <f>D20+D21+0.1</f>
        <v>1090.7199999999998</v>
      </c>
      <c r="E19" s="38">
        <f t="shared" si="2"/>
        <v>17854.645816140001</v>
      </c>
      <c r="F19" s="38">
        <f t="shared" si="2"/>
        <v>39.9</v>
      </c>
      <c r="G19" s="38">
        <f t="shared" si="2"/>
        <v>549.00915000000009</v>
      </c>
      <c r="H19" s="38">
        <f t="shared" si="2"/>
        <v>708.80000000000007</v>
      </c>
      <c r="I19" s="38">
        <f t="shared" si="2"/>
        <v>77.224846400000018</v>
      </c>
      <c r="J19" s="38">
        <f t="shared" si="2"/>
        <v>2037.7999999999997</v>
      </c>
      <c r="K19" s="38">
        <f t="shared" si="2"/>
        <v>241.15656944</v>
      </c>
      <c r="L19" s="38">
        <f t="shared" si="2"/>
        <v>2746.6</v>
      </c>
      <c r="M19" s="38">
        <f t="shared" si="2"/>
        <v>495.71534465999997</v>
      </c>
      <c r="N19" s="38">
        <f>N20+N21</f>
        <v>207.79999999999998</v>
      </c>
      <c r="O19" s="38">
        <f>O20+O21</f>
        <v>125.48651999999998</v>
      </c>
      <c r="P19" s="39">
        <f t="shared" ref="P19" si="3">P20+P21</f>
        <v>22221.169233839999</v>
      </c>
      <c r="Q19" s="40"/>
      <c r="R19" s="40"/>
    </row>
    <row r="20" spans="1:18" x14ac:dyDescent="0.3">
      <c r="A20" s="47" t="s">
        <v>81</v>
      </c>
      <c r="B20" s="42">
        <f>B24+B27+B30+B33+B36+B39+B42+B45+B48</f>
        <v>177.2</v>
      </c>
      <c r="C20" s="42">
        <f>C24+C27+C30+C33+C36+C39+C42+C45+C48-0.1</f>
        <v>2109.8558400000002</v>
      </c>
      <c r="D20" s="42">
        <f t="shared" ref="D20:L20" si="4">D24+D27+D30+D33+D36+D39+D42+D45+D48</f>
        <v>817.95999999999992</v>
      </c>
      <c r="E20" s="42">
        <f>E24+E27+E30+E33+E36+E39+E42+E45+E48+0.1</f>
        <v>12137.805218880001</v>
      </c>
      <c r="F20" s="42">
        <f t="shared" si="4"/>
        <v>30.599999999999998</v>
      </c>
      <c r="G20" s="42">
        <f>G24+G27+G30+G33+G36+G39+G42+G45+G48</f>
        <v>376.72467840000002</v>
      </c>
      <c r="H20" s="42">
        <f t="shared" si="4"/>
        <v>530.20000000000005</v>
      </c>
      <c r="I20" s="42">
        <f>I24+I27+I30+I33+I36+I39+I42+I45+I48+0.1</f>
        <v>54.385669000000007</v>
      </c>
      <c r="J20" s="42">
        <f t="shared" si="4"/>
        <v>1777.2999999999997</v>
      </c>
      <c r="K20" s="42">
        <f>K24+K27+K30+K33+K36+K39+K42+K45+K48</f>
        <v>207.37576469999999</v>
      </c>
      <c r="L20" s="42">
        <f t="shared" si="4"/>
        <v>2307.5</v>
      </c>
      <c r="M20" s="42">
        <f>M24+M27+M30+M33+M36+M39+M42+M45+M48</f>
        <v>392.86583959999996</v>
      </c>
      <c r="N20" s="42">
        <f>N24+N27+N30+N33+N36+N39+N42+N45+N48</f>
        <v>155.89999999999998</v>
      </c>
      <c r="O20" s="42">
        <f>O24+O27+O30+O33+O36+O39+O42+O45+O48+0.1</f>
        <v>94.170059999999978</v>
      </c>
      <c r="P20" s="43">
        <f>P24+P27+P30+P33+P36+P39+P42+P45+P48</f>
        <v>15373.283070580001</v>
      </c>
      <c r="Q20" s="40"/>
      <c r="R20" s="40"/>
    </row>
    <row r="21" spans="1:18" x14ac:dyDescent="0.3">
      <c r="A21" s="47" t="s">
        <v>82</v>
      </c>
      <c r="B21" s="42">
        <f t="shared" ref="B21:L21" si="5">B25+B28+B31+B34+B37+B40+B43+B46+B49</f>
        <v>61.5</v>
      </c>
      <c r="C21" s="42">
        <f>C25+C28+C31+C34+C37+C40+C43+C46+C49-0.1</f>
        <v>768.07514719999983</v>
      </c>
      <c r="D21" s="42">
        <f t="shared" si="5"/>
        <v>272.65999999999997</v>
      </c>
      <c r="E21" s="42">
        <f>E25+E28+E31+E34+E37+E40+E43+E46+E49-0.1</f>
        <v>5716.8405972599994</v>
      </c>
      <c r="F21" s="42">
        <f t="shared" si="5"/>
        <v>9.3000000000000007</v>
      </c>
      <c r="G21" s="42">
        <f>G25+G28+G31+G34+G37+G40+G43+G46+G49</f>
        <v>172.28447160000002</v>
      </c>
      <c r="H21" s="42">
        <f t="shared" si="5"/>
        <v>178.6</v>
      </c>
      <c r="I21" s="42">
        <f>I25+I28+I31+I34+I37+I40+I43+I46+I49+0.1</f>
        <v>22.839177400000004</v>
      </c>
      <c r="J21" s="42">
        <f t="shared" si="5"/>
        <v>260.5</v>
      </c>
      <c r="K21" s="42">
        <f>K25+K28+K31+K34+K37+K40+K43+K46+K49+0.1</f>
        <v>33.780804740000001</v>
      </c>
      <c r="L21" s="42">
        <f t="shared" si="5"/>
        <v>439.1</v>
      </c>
      <c r="M21" s="42">
        <f>M25+M28+M31+M34+M37+M40+M43+M46+M49</f>
        <v>102.84950506000001</v>
      </c>
      <c r="N21" s="42">
        <f>N25+N28+N31+N34+N37+N40+N43+N46+N49</f>
        <v>51.900000000000006</v>
      </c>
      <c r="O21" s="42">
        <f>O25+O28+O31+O34+O37+O40+O43+O46+O49</f>
        <v>31.316460000000006</v>
      </c>
      <c r="P21" s="43">
        <f>P25+P28+P31+P34+P37+P40+P43+P46+P49-0.1</f>
        <v>6847.8861632599992</v>
      </c>
      <c r="Q21" s="40"/>
      <c r="R21" s="40"/>
    </row>
    <row r="22" spans="1:18" x14ac:dyDescent="0.3">
      <c r="A22" s="85" t="s">
        <v>11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7"/>
      <c r="Q22" s="40"/>
      <c r="R22" s="40"/>
    </row>
    <row r="23" spans="1:18" ht="75" x14ac:dyDescent="0.3">
      <c r="A23" s="48" t="s">
        <v>34</v>
      </c>
      <c r="B23" s="42">
        <f>B24+B25</f>
        <v>72.900000000000006</v>
      </c>
      <c r="C23" s="42">
        <f t="shared" ref="C23:M23" si="6">C24+C25</f>
        <v>879.76228128000002</v>
      </c>
      <c r="D23" s="42">
        <f>D24+D25</f>
        <v>416.2</v>
      </c>
      <c r="E23" s="42">
        <f>E24+E25-0.1</f>
        <v>5770.4715056799996</v>
      </c>
      <c r="F23" s="42">
        <f t="shared" si="6"/>
        <v>4</v>
      </c>
      <c r="G23" s="42">
        <f>G24+G25-0.1</f>
        <v>55.359004000000006</v>
      </c>
      <c r="H23" s="42">
        <f t="shared" si="6"/>
        <v>71.3</v>
      </c>
      <c r="I23" s="42">
        <f>I24+I25+0.1</f>
        <v>7.8272152599999991</v>
      </c>
      <c r="J23" s="42">
        <f t="shared" si="6"/>
        <v>470.5</v>
      </c>
      <c r="K23" s="42">
        <f t="shared" si="6"/>
        <v>50.994427419999994</v>
      </c>
      <c r="L23" s="42">
        <f t="shared" si="6"/>
        <v>541.79999999999995</v>
      </c>
      <c r="M23" s="42">
        <f t="shared" si="6"/>
        <v>101.36380492000001</v>
      </c>
      <c r="N23" s="42">
        <f>N24+N25</f>
        <v>74.400000000000006</v>
      </c>
      <c r="O23" s="42">
        <f>O24+O25</f>
        <v>44.892959999999988</v>
      </c>
      <c r="P23" s="43">
        <f>P24+P25-0.1</f>
        <v>6910.7711985599999</v>
      </c>
      <c r="Q23" s="40"/>
      <c r="R23" s="40"/>
    </row>
    <row r="24" spans="1:18" x14ac:dyDescent="0.3">
      <c r="A24" s="47" t="s">
        <v>81</v>
      </c>
      <c r="B24" s="42">
        <v>52.8</v>
      </c>
      <c r="C24" s="42">
        <f>B24*ТАРИФЫ!$F$16</f>
        <v>628.70015999999998</v>
      </c>
      <c r="D24" s="42">
        <v>312.14</v>
      </c>
      <c r="E24" s="42">
        <f>D24*ТАРИФЫ!$F$4/1000</f>
        <v>3842.8379449600002</v>
      </c>
      <c r="F24" s="42">
        <v>3</v>
      </c>
      <c r="G24" s="42">
        <f>F24*ТАРИФЫ!$F$4/1000</f>
        <v>36.933792000000004</v>
      </c>
      <c r="H24" s="42">
        <v>53.5</v>
      </c>
      <c r="I24" s="42">
        <f>H24*ТАРИФЫ!$F$8/1000</f>
        <v>5.4663624999999998</v>
      </c>
      <c r="J24" s="42">
        <v>352.9</v>
      </c>
      <c r="K24" s="42">
        <f>J24*ТАРИФЫ!$F$8/1000</f>
        <v>36.057557499999994</v>
      </c>
      <c r="L24" s="42">
        <f>H24+J24</f>
        <v>406.4</v>
      </c>
      <c r="M24" s="42">
        <f>L24*ТАРИФЫ!$F$12/1000</f>
        <v>69.457742719999999</v>
      </c>
      <c r="N24" s="42">
        <v>55.8</v>
      </c>
      <c r="O24" s="42">
        <f>N24*ТАРИФЫ!$E$20/1000</f>
        <v>33.669719999999991</v>
      </c>
      <c r="P24" s="43">
        <f>C24+E24+G24+I24+K24+M24+O24+0.1</f>
        <v>4653.2232796800008</v>
      </c>
      <c r="Q24" s="40"/>
      <c r="R24" s="40"/>
    </row>
    <row r="25" spans="1:18" x14ac:dyDescent="0.3">
      <c r="A25" s="47" t="s">
        <v>82</v>
      </c>
      <c r="B25" s="42">
        <v>20.100000000000001</v>
      </c>
      <c r="C25" s="42">
        <f>B25*ТАРИФЫ!$G$16</f>
        <v>251.06212128000001</v>
      </c>
      <c r="D25" s="42">
        <v>104.06</v>
      </c>
      <c r="E25" s="42">
        <f>D25*ТАРИФЫ!$G$4/1000</f>
        <v>1927.73356072</v>
      </c>
      <c r="F25" s="42">
        <v>1</v>
      </c>
      <c r="G25" s="42">
        <f>F25*ТАРИФЫ!$G$4/1000</f>
        <v>18.525212</v>
      </c>
      <c r="H25" s="42">
        <v>17.8</v>
      </c>
      <c r="I25" s="42">
        <f>H25*ТАРИФЫ!$G$8/1000</f>
        <v>2.2608527600000001</v>
      </c>
      <c r="J25" s="42">
        <v>117.6</v>
      </c>
      <c r="K25" s="42">
        <f>J25*ТАРИФЫ!$G$8/1000</f>
        <v>14.936869919999999</v>
      </c>
      <c r="L25" s="42">
        <f>H25+J25</f>
        <v>135.4</v>
      </c>
      <c r="M25" s="42">
        <f>L25*ТАРИФЫ!$G$12/1000</f>
        <v>31.906062200000001</v>
      </c>
      <c r="N25" s="42">
        <v>18.600000000000001</v>
      </c>
      <c r="O25" s="42">
        <f>N25*ТАРИФЫ!$E$20/1000</f>
        <v>11.223240000000001</v>
      </c>
      <c r="P25" s="43">
        <f>C25+E25+G25+I25+K25+M25+O25</f>
        <v>2257.6479188799999</v>
      </c>
      <c r="Q25" s="40"/>
      <c r="R25" s="40"/>
    </row>
    <row r="26" spans="1:18" ht="75" x14ac:dyDescent="0.3">
      <c r="A26" s="48" t="s">
        <v>35</v>
      </c>
      <c r="B26" s="42">
        <f>B27+B28</f>
        <v>2.1</v>
      </c>
      <c r="C26" s="42">
        <f t="shared" ref="C26:L26" si="7">C27+C28</f>
        <v>25.2968464</v>
      </c>
      <c r="D26" s="42">
        <f t="shared" si="7"/>
        <v>66.52000000000001</v>
      </c>
      <c r="E26" s="42">
        <f t="shared" si="7"/>
        <v>922.09681808000005</v>
      </c>
      <c r="F26" s="42">
        <f t="shared" si="7"/>
        <v>1.7000000000000002</v>
      </c>
      <c r="G26" s="42">
        <f t="shared" si="7"/>
        <v>23.414728000000004</v>
      </c>
      <c r="H26" s="42">
        <f t="shared" si="7"/>
        <v>30</v>
      </c>
      <c r="I26" s="42">
        <f t="shared" si="7"/>
        <v>3.251544</v>
      </c>
      <c r="J26" s="42">
        <f t="shared" si="7"/>
        <v>31.2</v>
      </c>
      <c r="K26" s="42">
        <f t="shared" si="7"/>
        <v>3.3816057600000002</v>
      </c>
      <c r="L26" s="42">
        <f t="shared" si="7"/>
        <v>61.2</v>
      </c>
      <c r="M26" s="42">
        <f>M27+M28-0.1</f>
        <v>11.350097719999999</v>
      </c>
      <c r="N26" s="42">
        <f>N27+N28</f>
        <v>5.2</v>
      </c>
      <c r="O26" s="42">
        <f>O27+O28+0.1</f>
        <v>3.2376799999999997</v>
      </c>
      <c r="P26" s="43">
        <f>C26+E26+G26+I26+K26+M26+O26+0.1</f>
        <v>992.12931995999998</v>
      </c>
      <c r="Q26" s="40"/>
      <c r="R26" s="40"/>
    </row>
    <row r="27" spans="1:18" x14ac:dyDescent="0.3">
      <c r="A27" s="47" t="s">
        <v>81</v>
      </c>
      <c r="B27" s="42">
        <v>1.6</v>
      </c>
      <c r="C27" s="42">
        <f>B27*ТАРИФЫ!$F$16</f>
        <v>19.05152</v>
      </c>
      <c r="D27" s="42">
        <v>49.92</v>
      </c>
      <c r="E27" s="42">
        <f>D27*ТАРИФЫ!F4/1000</f>
        <v>614.57829888000003</v>
      </c>
      <c r="F27" s="42">
        <v>1.3</v>
      </c>
      <c r="G27" s="42">
        <f>F27*ТАРИФЫ!$F$4/1000</f>
        <v>16.004643200000004</v>
      </c>
      <c r="H27" s="42">
        <v>22.5</v>
      </c>
      <c r="I27" s="42">
        <f>H27*ТАРИФЫ!$F$8/1000</f>
        <v>2.2989375000000001</v>
      </c>
      <c r="J27" s="42">
        <v>23.4</v>
      </c>
      <c r="K27" s="42">
        <f>J27*ТАРИФЫ!$F$8/1000</f>
        <v>2.390895</v>
      </c>
      <c r="L27" s="42">
        <f t="shared" ref="L27:L28" si="8">H27+J27</f>
        <v>45.9</v>
      </c>
      <c r="M27" s="42">
        <f>L27*ТАРИФЫ!$F$12/1000</f>
        <v>7.8447598199999993</v>
      </c>
      <c r="N27" s="42">
        <v>3.9</v>
      </c>
      <c r="O27" s="42">
        <f>N27*ТАРИФЫ!$E$20/1000</f>
        <v>2.3532599999999997</v>
      </c>
      <c r="P27" s="43">
        <f>C27+E27+G27+I27+K27+M27+O27+0.1</f>
        <v>664.62231440000005</v>
      </c>
      <c r="Q27" s="40"/>
      <c r="R27" s="40"/>
    </row>
    <row r="28" spans="1:18" x14ac:dyDescent="0.3">
      <c r="A28" s="47" t="s">
        <v>82</v>
      </c>
      <c r="B28" s="42">
        <v>0.5</v>
      </c>
      <c r="C28" s="42">
        <f>B28*ТАРИФЫ!$G$16</f>
        <v>6.2453263999999997</v>
      </c>
      <c r="D28" s="42">
        <v>16.600000000000001</v>
      </c>
      <c r="E28" s="42">
        <f>D28*ТАРИФЫ!G4/1000</f>
        <v>307.51851920000001</v>
      </c>
      <c r="F28" s="42">
        <v>0.4</v>
      </c>
      <c r="G28" s="42">
        <f>F28*ТАРИФЫ!$G$4/1000</f>
        <v>7.4100848000000008</v>
      </c>
      <c r="H28" s="42">
        <v>7.5</v>
      </c>
      <c r="I28" s="42">
        <f>H28*ТАРИФЫ!$G$8/1000</f>
        <v>0.95260650000000002</v>
      </c>
      <c r="J28" s="42">
        <v>7.8</v>
      </c>
      <c r="K28" s="42">
        <f>J28*ТАРИФЫ!$G$8/1000</f>
        <v>0.99071076000000002</v>
      </c>
      <c r="L28" s="42">
        <f t="shared" si="8"/>
        <v>15.3</v>
      </c>
      <c r="M28" s="42">
        <f>L28*ТАРИФЫ!$G$12/1000</f>
        <v>3.6053378999999999</v>
      </c>
      <c r="N28" s="42">
        <v>1.3</v>
      </c>
      <c r="O28" s="42">
        <f>N28*ТАРИФЫ!$E$20/1000</f>
        <v>0.78442000000000001</v>
      </c>
      <c r="P28" s="43">
        <f>C28+E28+G28+I28+K28+M28+O28</f>
        <v>327.50700556000004</v>
      </c>
      <c r="Q28" s="40"/>
      <c r="R28" s="40"/>
    </row>
    <row r="29" spans="1:18" ht="93.75" x14ac:dyDescent="0.3">
      <c r="A29" s="48" t="s">
        <v>88</v>
      </c>
      <c r="B29" s="42">
        <f>B30+B31</f>
        <v>3.3</v>
      </c>
      <c r="C29" s="42">
        <f t="shared" ref="C29:M29" si="9">C30+C31</f>
        <v>39.76052224</v>
      </c>
      <c r="D29" s="42">
        <f t="shared" si="9"/>
        <v>123.6</v>
      </c>
      <c r="E29" s="42">
        <f t="shared" si="9"/>
        <v>3749.27607786</v>
      </c>
      <c r="F29" s="42">
        <f t="shared" si="9"/>
        <v>0</v>
      </c>
      <c r="G29" s="42">
        <f t="shared" si="9"/>
        <v>0</v>
      </c>
      <c r="H29" s="42">
        <f t="shared" si="9"/>
        <v>0</v>
      </c>
      <c r="I29" s="42">
        <f t="shared" si="9"/>
        <v>0</v>
      </c>
      <c r="J29" s="42">
        <f t="shared" si="9"/>
        <v>20.8</v>
      </c>
      <c r="K29" s="42">
        <f t="shared" si="9"/>
        <v>3.56336136</v>
      </c>
      <c r="L29" s="42">
        <f t="shared" si="9"/>
        <v>20.8</v>
      </c>
      <c r="M29" s="42">
        <f t="shared" si="9"/>
        <v>3.9754041599999992</v>
      </c>
      <c r="N29" s="42">
        <f>N30+N31</f>
        <v>5.0999999999999996</v>
      </c>
      <c r="O29" s="42">
        <f>O30+O31</f>
        <v>3.0773399999999995</v>
      </c>
      <c r="P29" s="43">
        <f>P30+P31-0.1</f>
        <v>3799.5527056199999</v>
      </c>
      <c r="Q29" s="40"/>
      <c r="R29" s="40"/>
    </row>
    <row r="30" spans="1:18" x14ac:dyDescent="0.3">
      <c r="A30" s="47" t="s">
        <v>81</v>
      </c>
      <c r="B30" s="42">
        <v>2.5</v>
      </c>
      <c r="C30" s="42">
        <f>B30*ТАРИФЫ!$F$16</f>
        <v>29.768000000000001</v>
      </c>
      <c r="D30" s="42">
        <v>92.7</v>
      </c>
      <c r="E30" s="42">
        <f>D30*ТАРИФЫ!$F$7/1000</f>
        <v>2682.5252164200001</v>
      </c>
      <c r="F30" s="42">
        <v>0</v>
      </c>
      <c r="G30" s="42">
        <f>F30*ТАРИФЫ!$F$7/1000</f>
        <v>0</v>
      </c>
      <c r="H30" s="42">
        <v>0</v>
      </c>
      <c r="I30" s="42">
        <v>0</v>
      </c>
      <c r="J30" s="42">
        <v>15.6</v>
      </c>
      <c r="K30" s="42">
        <f>J30*ТАРИФЫ!$F$11/1000</f>
        <v>2.3841386399999998</v>
      </c>
      <c r="L30" s="42">
        <f>H30+J30</f>
        <v>15.6</v>
      </c>
      <c r="M30" s="42">
        <f>L30*ТАРИФЫ!$F$15/1000</f>
        <v>2.6580091199999996</v>
      </c>
      <c r="N30" s="42">
        <v>3.8</v>
      </c>
      <c r="O30" s="42">
        <f>N30*ТАРИФЫ!$E$20/1000</f>
        <v>2.2929199999999996</v>
      </c>
      <c r="P30" s="43">
        <f>C30+E30+G30+I30+K30+M30+O30</f>
        <v>2719.6282841799998</v>
      </c>
      <c r="Q30" s="40"/>
      <c r="R30" s="40"/>
    </row>
    <row r="31" spans="1:18" x14ac:dyDescent="0.3">
      <c r="A31" s="47" t="s">
        <v>82</v>
      </c>
      <c r="B31" s="42">
        <v>0.8</v>
      </c>
      <c r="C31" s="42">
        <f>B31*ТАРИФЫ!$G$16</f>
        <v>9.9925222399999996</v>
      </c>
      <c r="D31" s="42">
        <v>30.9</v>
      </c>
      <c r="E31" s="42">
        <f>D31*ТАРИФЫ!$G$7/1000</f>
        <v>1066.7508614399999</v>
      </c>
      <c r="F31" s="42">
        <v>0</v>
      </c>
      <c r="G31" s="42">
        <f>F31*ТАРИФЫ!$G$7/1000</f>
        <v>0</v>
      </c>
      <c r="H31" s="42">
        <v>0</v>
      </c>
      <c r="I31" s="42">
        <v>0</v>
      </c>
      <c r="J31" s="42">
        <v>5.2</v>
      </c>
      <c r="K31" s="42">
        <f>J31*ТАРИФЫ!$G$11/1000</f>
        <v>1.1792227200000001</v>
      </c>
      <c r="L31" s="42">
        <f>H31+J31</f>
        <v>5.2</v>
      </c>
      <c r="M31" s="42">
        <f>L31*ТАРИФЫ!$G$15/1000</f>
        <v>1.3173950399999999</v>
      </c>
      <c r="N31" s="42">
        <v>1.3</v>
      </c>
      <c r="O31" s="42">
        <f>N31*ТАРИФЫ!$E$20/1000</f>
        <v>0.78442000000000001</v>
      </c>
      <c r="P31" s="43">
        <f>C31+E31+G31+I31+K31+M31+O31</f>
        <v>1080.02442144</v>
      </c>
      <c r="Q31" s="40"/>
      <c r="R31" s="40"/>
    </row>
    <row r="32" spans="1:18" ht="93.75" x14ac:dyDescent="0.3">
      <c r="A32" s="48" t="s">
        <v>87</v>
      </c>
      <c r="B32" s="42">
        <f>B33+B34</f>
        <v>8.1</v>
      </c>
      <c r="C32" s="42">
        <f>C33+C34</f>
        <v>97.615225599999988</v>
      </c>
      <c r="D32" s="42">
        <f t="shared" ref="D32:M32" si="10">D33+D34</f>
        <v>41.8</v>
      </c>
      <c r="E32" s="42">
        <f t="shared" si="10"/>
        <v>1277.70444572</v>
      </c>
      <c r="F32" s="42">
        <f t="shared" si="10"/>
        <v>0</v>
      </c>
      <c r="G32" s="42">
        <f t="shared" si="10"/>
        <v>0</v>
      </c>
      <c r="H32" s="42">
        <f t="shared" si="10"/>
        <v>6.6</v>
      </c>
      <c r="I32" s="42">
        <f t="shared" si="10"/>
        <v>0.88102299999999989</v>
      </c>
      <c r="J32" s="42">
        <f t="shared" si="10"/>
        <v>8.9</v>
      </c>
      <c r="K32" s="42">
        <f t="shared" si="10"/>
        <v>1.1895890600000001</v>
      </c>
      <c r="L32" s="42">
        <f t="shared" si="10"/>
        <v>15.5</v>
      </c>
      <c r="M32" s="42">
        <f t="shared" si="10"/>
        <v>0.68136023999999995</v>
      </c>
      <c r="N32" s="42">
        <f>N33+N34</f>
        <v>3.5</v>
      </c>
      <c r="O32" s="42">
        <f>O33+O34</f>
        <v>2.1118999999999999</v>
      </c>
      <c r="P32" s="43">
        <f t="shared" ref="P32:P38" si="11">C32+E32+G32+I32+K32+M32+O32</f>
        <v>1380.1835436199999</v>
      </c>
      <c r="Q32" s="40"/>
      <c r="R32" s="40"/>
    </row>
    <row r="33" spans="1:189" x14ac:dyDescent="0.3">
      <c r="A33" s="47" t="s">
        <v>81</v>
      </c>
      <c r="B33" s="42">
        <v>6.1</v>
      </c>
      <c r="C33" s="42">
        <f>B33*ТАРИФЫ!$F$16</f>
        <v>72.633919999999989</v>
      </c>
      <c r="D33" s="42">
        <v>31.3</v>
      </c>
      <c r="E33" s="42">
        <f>D33*ТАРИФЫ!$F$5/1000</f>
        <v>911.65523701999996</v>
      </c>
      <c r="F33" s="42">
        <v>0</v>
      </c>
      <c r="G33" s="42">
        <v>0</v>
      </c>
      <c r="H33" s="42">
        <v>5</v>
      </c>
      <c r="I33" s="42">
        <f>H33*ТАРИФЫ!$F$9/1000</f>
        <v>0.62335899999999989</v>
      </c>
      <c r="J33" s="42">
        <v>6.7</v>
      </c>
      <c r="K33" s="42">
        <f>J33*ТАРИФЫ!$F$9/1000</f>
        <v>0.83530106000000004</v>
      </c>
      <c r="L33" s="42">
        <f t="shared" ref="L33:L43" si="12">H33+J33</f>
        <v>11.7</v>
      </c>
      <c r="M33" s="42">
        <f>L33*ТАРИФЫ!$F$13/1000</f>
        <v>0.49930451999999992</v>
      </c>
      <c r="N33" s="42">
        <v>2.6</v>
      </c>
      <c r="O33" s="42">
        <f>N33*ТАРИФЫ!$E$20/1000</f>
        <v>1.56884</v>
      </c>
      <c r="P33" s="43">
        <f>C33+E33+G33+I33+K33+M33+O33</f>
        <v>987.81596160000004</v>
      </c>
      <c r="Q33" s="40"/>
      <c r="R33" s="40"/>
    </row>
    <row r="34" spans="1:189" x14ac:dyDescent="0.3">
      <c r="A34" s="47" t="s">
        <v>82</v>
      </c>
      <c r="B34" s="42">
        <v>2</v>
      </c>
      <c r="C34" s="42">
        <f>B34*ТАРИФЫ!$G$16</f>
        <v>24.981305599999999</v>
      </c>
      <c r="D34" s="42">
        <v>10.5</v>
      </c>
      <c r="E34" s="42">
        <f>D34*ТАРИФЫ!$G$5/1000</f>
        <v>366.04920870000001</v>
      </c>
      <c r="F34" s="42">
        <v>0</v>
      </c>
      <c r="G34" s="42">
        <v>0</v>
      </c>
      <c r="H34" s="42">
        <v>1.6</v>
      </c>
      <c r="I34" s="42">
        <f>H34*ТАРИФЫ!$G$9/1000</f>
        <v>0.257664</v>
      </c>
      <c r="J34" s="42">
        <v>2.2000000000000002</v>
      </c>
      <c r="K34" s="42">
        <f>J34*ТАРИФЫ!$G$9/1000</f>
        <v>0.35428799999999999</v>
      </c>
      <c r="L34" s="42">
        <f t="shared" si="12"/>
        <v>3.8000000000000003</v>
      </c>
      <c r="M34" s="42">
        <f>L34*ТАРИФЫ!$G$13/1000</f>
        <v>0.18205572000000003</v>
      </c>
      <c r="N34" s="42">
        <v>0.9</v>
      </c>
      <c r="O34" s="42">
        <f>N34*ТАРИФЫ!$E$20/1000</f>
        <v>0.54305999999999999</v>
      </c>
      <c r="P34" s="43">
        <f>C34+E34+G34+I34+K34+M34+O34</f>
        <v>392.36758201999999</v>
      </c>
      <c r="Q34" s="40"/>
      <c r="R34" s="40"/>
    </row>
    <row r="35" spans="1:189" ht="75" x14ac:dyDescent="0.3">
      <c r="A35" s="48" t="s">
        <v>36</v>
      </c>
      <c r="B35" s="42">
        <f>B36+B37</f>
        <v>2.8</v>
      </c>
      <c r="C35" s="42">
        <f t="shared" ref="C35:M35" si="13">C36+C37</f>
        <v>33.748576960000001</v>
      </c>
      <c r="D35" s="42">
        <f t="shared" si="13"/>
        <v>36.700000000000003</v>
      </c>
      <c r="E35" s="42">
        <f t="shared" si="13"/>
        <v>508.99171039999999</v>
      </c>
      <c r="F35" s="42">
        <f t="shared" si="13"/>
        <v>0.2</v>
      </c>
      <c r="G35" s="42">
        <f t="shared" si="13"/>
        <v>3.0836476000000004</v>
      </c>
      <c r="H35" s="42">
        <f t="shared" si="13"/>
        <v>2</v>
      </c>
      <c r="I35" s="42">
        <f>I36+I37+0.1</f>
        <v>0.31676959999999998</v>
      </c>
      <c r="J35" s="42">
        <f t="shared" si="13"/>
        <v>7.9</v>
      </c>
      <c r="K35" s="42">
        <f t="shared" si="13"/>
        <v>0.85686090000000004</v>
      </c>
      <c r="L35" s="42">
        <f t="shared" si="13"/>
        <v>9.9</v>
      </c>
      <c r="M35" s="42">
        <f t="shared" si="13"/>
        <v>1.8538400199999998</v>
      </c>
      <c r="N35" s="42">
        <f>N36+N37</f>
        <v>3.4000000000000004</v>
      </c>
      <c r="O35" s="42">
        <v>2</v>
      </c>
      <c r="P35" s="43">
        <f t="shared" si="11"/>
        <v>550.85140548000004</v>
      </c>
      <c r="Q35" s="40"/>
      <c r="R35" s="40"/>
    </row>
    <row r="36" spans="1:189" x14ac:dyDescent="0.3">
      <c r="A36" s="47" t="s">
        <v>81</v>
      </c>
      <c r="B36" s="42">
        <v>2.1</v>
      </c>
      <c r="C36" s="42">
        <f>B36*ТАРИФЫ!$F$16</f>
        <v>25.005120000000002</v>
      </c>
      <c r="D36" s="42">
        <v>27.5</v>
      </c>
      <c r="E36" s="42">
        <f>D36*ТАРИФЫ!F4/1000</f>
        <v>338.55975999999998</v>
      </c>
      <c r="F36" s="42">
        <v>0.1</v>
      </c>
      <c r="G36" s="42">
        <f>F36*ТАРИФЫ!$F$4/1000</f>
        <v>1.2311264000000002</v>
      </c>
      <c r="H36" s="42">
        <v>1.5</v>
      </c>
      <c r="I36" s="42">
        <f>H36*ТАРИФЫ!$F$8/1000</f>
        <v>0.1532625</v>
      </c>
      <c r="J36" s="42">
        <v>5.9</v>
      </c>
      <c r="K36" s="42">
        <f>J36*ТАРИФЫ!$F$8/1000</f>
        <v>0.60283249999999999</v>
      </c>
      <c r="L36" s="42">
        <f t="shared" si="12"/>
        <v>7.4</v>
      </c>
      <c r="M36" s="42">
        <f>L36*ТАРИФЫ!$F$12/1000</f>
        <v>1.2647325199999999</v>
      </c>
      <c r="N36" s="42">
        <v>2.7</v>
      </c>
      <c r="O36" s="42">
        <f>N36*ТАРИФЫ!$E$20/1000</f>
        <v>1.6291800000000001</v>
      </c>
      <c r="P36" s="43">
        <f>C36+E36+G36+I36+K36+M36+O36+0.1</f>
        <v>368.54601391999995</v>
      </c>
      <c r="Q36" s="40"/>
      <c r="R36" s="40"/>
    </row>
    <row r="37" spans="1:189" x14ac:dyDescent="0.3">
      <c r="A37" s="47" t="s">
        <v>82</v>
      </c>
      <c r="B37" s="42">
        <v>0.7</v>
      </c>
      <c r="C37" s="42">
        <f>B37*ТАРИФЫ!$G$16</f>
        <v>8.7434569599999996</v>
      </c>
      <c r="D37" s="42">
        <v>9.1999999999999993</v>
      </c>
      <c r="E37" s="42">
        <f>D37*ТАРИФЫ!G4/1000</f>
        <v>170.43195039999998</v>
      </c>
      <c r="F37" s="42">
        <v>0.1</v>
      </c>
      <c r="G37" s="42">
        <f>F37*ТАРИФЫ!$G$4/1000</f>
        <v>1.8525212000000002</v>
      </c>
      <c r="H37" s="42">
        <v>0.5</v>
      </c>
      <c r="I37" s="42">
        <f>H37*ТАРИФЫ!$G$8/1000</f>
        <v>6.3507099999999997E-2</v>
      </c>
      <c r="J37" s="42">
        <v>2</v>
      </c>
      <c r="K37" s="42">
        <f>J37*ТАРИФЫ!$G$8/1000</f>
        <v>0.25402839999999999</v>
      </c>
      <c r="L37" s="42">
        <f t="shared" si="12"/>
        <v>2.5</v>
      </c>
      <c r="M37" s="42">
        <f>L37*ТАРИФЫ!$G$12/1000</f>
        <v>0.58910750000000001</v>
      </c>
      <c r="N37" s="42">
        <v>0.7</v>
      </c>
      <c r="O37" s="42">
        <f>N37*ТАРИФЫ!$E$20/1000</f>
        <v>0.42237999999999992</v>
      </c>
      <c r="P37" s="43">
        <f>C37+E37+G37+I37+K37+M37+O37</f>
        <v>182.35695156000003</v>
      </c>
      <c r="Q37" s="40"/>
      <c r="R37" s="40"/>
    </row>
    <row r="38" spans="1:189" ht="37.5" x14ac:dyDescent="0.3">
      <c r="A38" s="48" t="s">
        <v>37</v>
      </c>
      <c r="B38" s="42">
        <f>B39+B40</f>
        <v>31.1</v>
      </c>
      <c r="C38" s="42">
        <f>C39+C40-0.1</f>
        <v>374.76485184000001</v>
      </c>
      <c r="D38" s="42">
        <f t="shared" ref="D38:M38" si="14">D39+D40</f>
        <v>62</v>
      </c>
      <c r="E38" s="42">
        <f t="shared" si="14"/>
        <v>859.61456199999998</v>
      </c>
      <c r="F38" s="42">
        <f t="shared" si="14"/>
        <v>32</v>
      </c>
      <c r="G38" s="42">
        <f t="shared" si="14"/>
        <v>439.32226839999998</v>
      </c>
      <c r="H38" s="42">
        <f t="shared" si="14"/>
        <v>564.1</v>
      </c>
      <c r="I38" s="42">
        <f t="shared" si="14"/>
        <v>61.17650350000001</v>
      </c>
      <c r="J38" s="42">
        <f t="shared" si="14"/>
        <v>424</v>
      </c>
      <c r="K38" s="42">
        <f t="shared" si="14"/>
        <v>45.982478319999991</v>
      </c>
      <c r="L38" s="42">
        <f t="shared" si="14"/>
        <v>988.1</v>
      </c>
      <c r="M38" s="42">
        <f t="shared" si="14"/>
        <v>185.03338009999999</v>
      </c>
      <c r="N38" s="42">
        <f>N39+N40</f>
        <v>1.8</v>
      </c>
      <c r="O38" s="42">
        <f>O39+O40</f>
        <v>1.08612</v>
      </c>
      <c r="P38" s="43">
        <f t="shared" si="11"/>
        <v>1966.9801641599997</v>
      </c>
      <c r="Q38" s="40"/>
      <c r="R38" s="40"/>
    </row>
    <row r="39" spans="1:189" x14ac:dyDescent="0.3">
      <c r="A39" s="47" t="s">
        <v>81</v>
      </c>
      <c r="B39" s="42">
        <v>23.3</v>
      </c>
      <c r="C39" s="42">
        <f>B39*ТАРИФЫ!$F$16</f>
        <v>277.43776000000003</v>
      </c>
      <c r="D39" s="42">
        <v>46.5</v>
      </c>
      <c r="E39" s="42">
        <f>D39*ТАРИФЫ!F4/1000</f>
        <v>572.47377600000004</v>
      </c>
      <c r="F39" s="42">
        <v>24.7</v>
      </c>
      <c r="G39" s="42">
        <f>F39*ТАРИФЫ!$F$4/1000</f>
        <v>304.08822079999999</v>
      </c>
      <c r="H39" s="42">
        <v>421.6</v>
      </c>
      <c r="I39" s="42">
        <f>H39*ТАРИФЫ!$F$8/1000</f>
        <v>43.076980000000006</v>
      </c>
      <c r="J39" s="42">
        <v>316.89999999999998</v>
      </c>
      <c r="K39" s="42">
        <f>J39*ТАРИФЫ!$F$8/1000</f>
        <v>32.379257499999994</v>
      </c>
      <c r="L39" s="42">
        <f t="shared" si="12"/>
        <v>738.5</v>
      </c>
      <c r="M39" s="42">
        <f>L39*ТАРИФЫ!$F$12/1000</f>
        <v>126.21688729999998</v>
      </c>
      <c r="N39" s="42">
        <v>1.3</v>
      </c>
      <c r="O39" s="42">
        <f>N39*ТАРИФЫ!$E$20/1000</f>
        <v>0.78442000000000001</v>
      </c>
      <c r="P39" s="43">
        <f>C39+E39+G39+I39+K39+M39+O39</f>
        <v>1356.4573016000002</v>
      </c>
      <c r="Q39" s="40"/>
      <c r="R39" s="40"/>
    </row>
    <row r="40" spans="1:189" x14ac:dyDescent="0.3">
      <c r="A40" s="47" t="s">
        <v>82</v>
      </c>
      <c r="B40" s="42">
        <v>7.8</v>
      </c>
      <c r="C40" s="42">
        <f>B40*ТАРИФЫ!$G$16</f>
        <v>97.427091839999989</v>
      </c>
      <c r="D40" s="42">
        <v>15.5</v>
      </c>
      <c r="E40" s="42">
        <f>D40*ТАРИФЫ!G4/1000</f>
        <v>287.14078599999999</v>
      </c>
      <c r="F40" s="42">
        <v>7.3</v>
      </c>
      <c r="G40" s="42">
        <f>F40*ТАРИФЫ!$G$4/1000</f>
        <v>135.2340476</v>
      </c>
      <c r="H40" s="42">
        <v>142.5</v>
      </c>
      <c r="I40" s="42">
        <f>H40*ТАРИФЫ!$G$8/1000</f>
        <v>18.0995235</v>
      </c>
      <c r="J40" s="42">
        <v>107.1</v>
      </c>
      <c r="K40" s="42">
        <f>J40*ТАРИФЫ!$G$8/1000</f>
        <v>13.603220819999999</v>
      </c>
      <c r="L40" s="42">
        <f t="shared" si="12"/>
        <v>249.6</v>
      </c>
      <c r="M40" s="42">
        <f>L40*ТАРИФЫ!$G$12/1000</f>
        <v>58.816492799999999</v>
      </c>
      <c r="N40" s="42">
        <v>0.5</v>
      </c>
      <c r="O40" s="42">
        <f>N40*ТАРИФЫ!$E$20/1000</f>
        <v>0.30169999999999997</v>
      </c>
      <c r="P40" s="43">
        <f>C40+E40+G40+I40+K40+M40+O40-0.1</f>
        <v>610.52286256000002</v>
      </c>
      <c r="Q40" s="40"/>
      <c r="R40" s="40"/>
    </row>
    <row r="41" spans="1:189" ht="131.25" x14ac:dyDescent="0.3">
      <c r="A41" s="48" t="s">
        <v>89</v>
      </c>
      <c r="B41" s="42">
        <f>B42+B43</f>
        <v>12.5</v>
      </c>
      <c r="C41" s="42">
        <f t="shared" ref="C41:M41" si="15">C42+C43</f>
        <v>150.64870367999998</v>
      </c>
      <c r="D41" s="42">
        <f t="shared" si="15"/>
        <v>230</v>
      </c>
      <c r="E41" s="42">
        <f t="shared" si="15"/>
        <v>3188.89273</v>
      </c>
      <c r="F41" s="42">
        <f t="shared" si="15"/>
        <v>2</v>
      </c>
      <c r="G41" s="42">
        <f>G42+G43+0.1</f>
        <v>27.829502000000005</v>
      </c>
      <c r="H41" s="42">
        <f t="shared" si="15"/>
        <v>34.799999999999997</v>
      </c>
      <c r="I41" s="42">
        <f t="shared" si="15"/>
        <v>3.7717910399999997</v>
      </c>
      <c r="J41" s="42">
        <f t="shared" si="15"/>
        <v>74.5</v>
      </c>
      <c r="K41" s="42">
        <f t="shared" si="15"/>
        <v>8.0740466200000007</v>
      </c>
      <c r="L41" s="42">
        <f t="shared" si="15"/>
        <v>109.3</v>
      </c>
      <c r="M41" s="42">
        <f t="shared" si="15"/>
        <v>20.447657499999998</v>
      </c>
      <c r="N41" s="42">
        <f>N42+N43</f>
        <v>114.4</v>
      </c>
      <c r="O41" s="42">
        <f>O42+O43+0.1</f>
        <v>69.128959999999992</v>
      </c>
      <c r="P41" s="43">
        <f>C41+E41+G41+I41+K41+M41+O41-0.1</f>
        <v>3468.6933908400001</v>
      </c>
      <c r="Q41" s="40"/>
      <c r="R41" s="40"/>
    </row>
    <row r="42" spans="1:189" x14ac:dyDescent="0.3">
      <c r="A42" s="47" t="s">
        <v>81</v>
      </c>
      <c r="B42" s="42">
        <v>9.4</v>
      </c>
      <c r="C42" s="42">
        <f>B42*ТАРИФЫ!$F$16</f>
        <v>111.92768</v>
      </c>
      <c r="D42" s="42">
        <v>172.5</v>
      </c>
      <c r="E42" s="42">
        <f>D42*ТАРИФЫ!F4/1000</f>
        <v>2123.6930400000001</v>
      </c>
      <c r="F42" s="42">
        <v>1.5</v>
      </c>
      <c r="G42" s="42">
        <f>F42*ТАРИФЫ!$F$4/1000</f>
        <v>18.466896000000002</v>
      </c>
      <c r="H42" s="42">
        <v>26.1</v>
      </c>
      <c r="I42" s="42">
        <f>H42*ТАРИФЫ!$F$8/1000</f>
        <v>2.6667674999999997</v>
      </c>
      <c r="J42" s="42">
        <v>55.9</v>
      </c>
      <c r="K42" s="42">
        <f>J42*ТАРИФЫ!$F$8/1000</f>
        <v>5.7115824999999996</v>
      </c>
      <c r="L42" s="42">
        <f t="shared" si="12"/>
        <v>82</v>
      </c>
      <c r="M42" s="42">
        <f>L42*ТАРИФЫ!$F$12/1000</f>
        <v>14.014603599999999</v>
      </c>
      <c r="N42" s="42">
        <v>85.8</v>
      </c>
      <c r="O42" s="42">
        <f>N42*ТАРИФЫ!$E$20/1000</f>
        <v>51.771719999999995</v>
      </c>
      <c r="P42" s="43">
        <f>C42+E42+G42+I42+K42+M42+O42</f>
        <v>2328.2522896</v>
      </c>
      <c r="Q42" s="40"/>
      <c r="R42" s="40"/>
    </row>
    <row r="43" spans="1:189" x14ac:dyDescent="0.3">
      <c r="A43" s="47" t="s">
        <v>82</v>
      </c>
      <c r="B43" s="42">
        <v>3.1</v>
      </c>
      <c r="C43" s="42">
        <f>B43*ТАРИФЫ!$G$16</f>
        <v>38.721023680000002</v>
      </c>
      <c r="D43" s="42">
        <v>57.5</v>
      </c>
      <c r="E43" s="42">
        <f>D43*ТАРИФЫ!G4/1000</f>
        <v>1065.1996899999999</v>
      </c>
      <c r="F43" s="42">
        <v>0.5</v>
      </c>
      <c r="G43" s="42">
        <f>F43*ТАРИФЫ!$G$4/1000</f>
        <v>9.2626059999999999</v>
      </c>
      <c r="H43" s="42">
        <v>8.6999999999999993</v>
      </c>
      <c r="I43" s="42">
        <f>H43*ТАРИФЫ!$G$8/1000</f>
        <v>1.1050235399999999</v>
      </c>
      <c r="J43" s="42">
        <v>18.600000000000001</v>
      </c>
      <c r="K43" s="42">
        <f>J43*ТАРИФЫ!$G$8/1000</f>
        <v>2.3624641200000003</v>
      </c>
      <c r="L43" s="42">
        <f t="shared" si="12"/>
        <v>27.3</v>
      </c>
      <c r="M43" s="42">
        <f>L43*ТАРИФЫ!$G$12/1000</f>
        <v>6.4330539</v>
      </c>
      <c r="N43" s="42">
        <v>28.6</v>
      </c>
      <c r="O43" s="42">
        <f>N43*ТАРИФЫ!$E$20/1000</f>
        <v>17.257240000000003</v>
      </c>
      <c r="P43" s="43">
        <f>C43+E43+G43+I43+K43+M43+O43+0.1</f>
        <v>1140.4411012399996</v>
      </c>
      <c r="Q43" s="40"/>
      <c r="R43" s="40"/>
    </row>
    <row r="44" spans="1:189" ht="75" x14ac:dyDescent="0.3">
      <c r="A44" s="48" t="s">
        <v>56</v>
      </c>
      <c r="B44" s="42">
        <f>B45+B46</f>
        <v>105.9</v>
      </c>
      <c r="C44" s="42">
        <f>C45+C46</f>
        <v>1276.4339792000001</v>
      </c>
      <c r="D44" s="42">
        <f t="shared" ref="D44:E44" si="16">D45+D46</f>
        <v>113.80000000000001</v>
      </c>
      <c r="E44" s="42">
        <f t="shared" si="16"/>
        <v>1577.4979664</v>
      </c>
      <c r="F44" s="42">
        <f t="shared" ref="F44" si="17">F45+F46</f>
        <v>0</v>
      </c>
      <c r="G44" s="42">
        <f t="shared" ref="G44" si="18">G45+G46</f>
        <v>0</v>
      </c>
      <c r="H44" s="42">
        <f t="shared" ref="H44" si="19">H45+H46</f>
        <v>0</v>
      </c>
      <c r="I44" s="42">
        <f t="shared" ref="I44" si="20">I45+I46</f>
        <v>0</v>
      </c>
      <c r="J44" s="42">
        <f t="shared" ref="J44" si="21">J45+J46</f>
        <v>0</v>
      </c>
      <c r="K44" s="42">
        <f t="shared" ref="K44" si="22">K45+K46</f>
        <v>0</v>
      </c>
      <c r="L44" s="42">
        <f t="shared" ref="L44" si="23">L45+L46</f>
        <v>0</v>
      </c>
      <c r="M44" s="42">
        <f t="shared" ref="M44" si="24">M45+M46</f>
        <v>0</v>
      </c>
      <c r="N44" s="42">
        <f t="shared" ref="N44" si="25">N45+N46</f>
        <v>0</v>
      </c>
      <c r="O44" s="42">
        <f t="shared" ref="O44" si="26">O45+O46</f>
        <v>0</v>
      </c>
      <c r="P44" s="43">
        <f t="shared" ref="P44" si="27">P45+P46</f>
        <v>2853.9319456000003</v>
      </c>
      <c r="Q44" s="40"/>
      <c r="R44" s="40"/>
    </row>
    <row r="45" spans="1:189" x14ac:dyDescent="0.3">
      <c r="A45" s="47" t="s">
        <v>81</v>
      </c>
      <c r="B45" s="42">
        <v>79.400000000000006</v>
      </c>
      <c r="C45" s="42">
        <f>B45*ТАРИФЫ!$F$16</f>
        <v>945.43168000000003</v>
      </c>
      <c r="D45" s="42">
        <v>85.4</v>
      </c>
      <c r="E45" s="42">
        <f>D45*ТАРИФЫ!$F$4/1000</f>
        <v>1051.3819456000001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2">
        <v>0</v>
      </c>
      <c r="P45" s="43">
        <f>C45+E45+G45+I45+K45+M45+O45</f>
        <v>1996.8136256000003</v>
      </c>
      <c r="Q45" s="40"/>
      <c r="R45" s="40"/>
    </row>
    <row r="46" spans="1:189" x14ac:dyDescent="0.3">
      <c r="A46" s="47" t="s">
        <v>82</v>
      </c>
      <c r="B46" s="42">
        <v>26.5</v>
      </c>
      <c r="C46" s="42">
        <f>B46*ТАРИФЫ!$G$16</f>
        <v>331.00229919999998</v>
      </c>
      <c r="D46" s="42">
        <v>28.4</v>
      </c>
      <c r="E46" s="42">
        <f>D46*ТАРИФЫ!$G$4/1000</f>
        <v>526.11602079999989</v>
      </c>
      <c r="F46" s="42">
        <v>0</v>
      </c>
      <c r="G46" s="42">
        <v>0</v>
      </c>
      <c r="H46" s="42">
        <v>0</v>
      </c>
      <c r="I46" s="42">
        <v>0</v>
      </c>
      <c r="J46" s="42">
        <v>0</v>
      </c>
      <c r="K46" s="42">
        <v>0</v>
      </c>
      <c r="L46" s="42">
        <v>0</v>
      </c>
      <c r="M46" s="42">
        <v>0</v>
      </c>
      <c r="N46" s="42">
        <v>0</v>
      </c>
      <c r="O46" s="42">
        <v>0</v>
      </c>
      <c r="P46" s="43">
        <f t="shared" ref="P46" si="28">C46+E46+G46+I46+K46+M46+O46</f>
        <v>857.11831999999981</v>
      </c>
      <c r="Q46" s="40"/>
      <c r="R46" s="40"/>
    </row>
    <row r="47" spans="1:189" x14ac:dyDescent="0.3">
      <c r="A47" s="48" t="s">
        <v>29</v>
      </c>
      <c r="B47" s="42">
        <v>0</v>
      </c>
      <c r="C47" s="42">
        <v>0</v>
      </c>
      <c r="D47" s="42">
        <v>0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f>J48+J49</f>
        <v>1000</v>
      </c>
      <c r="K47" s="42">
        <f t="shared" ref="K47:P47" si="29">K48+K49</f>
        <v>127.0142</v>
      </c>
      <c r="L47" s="42">
        <f t="shared" si="29"/>
        <v>1000</v>
      </c>
      <c r="M47" s="42">
        <f t="shared" si="29"/>
        <v>170.90979999999999</v>
      </c>
      <c r="N47" s="42">
        <f t="shared" si="29"/>
        <v>0</v>
      </c>
      <c r="O47" s="42">
        <f t="shared" si="29"/>
        <v>0</v>
      </c>
      <c r="P47" s="43">
        <f t="shared" si="29"/>
        <v>297.92399999999998</v>
      </c>
      <c r="Q47" s="40"/>
      <c r="R47" s="40"/>
    </row>
    <row r="48" spans="1:189" s="49" customFormat="1" x14ac:dyDescent="0.3">
      <c r="A48" s="47" t="s">
        <v>81</v>
      </c>
      <c r="B48" s="42">
        <v>0</v>
      </c>
      <c r="C48" s="42">
        <v>0</v>
      </c>
      <c r="D48" s="42">
        <v>0</v>
      </c>
      <c r="E48" s="42">
        <v>0</v>
      </c>
      <c r="F48" s="42">
        <v>0</v>
      </c>
      <c r="G48" s="42">
        <v>0</v>
      </c>
      <c r="H48" s="42">
        <v>0</v>
      </c>
      <c r="I48" s="42">
        <v>0</v>
      </c>
      <c r="J48" s="42">
        <v>1000</v>
      </c>
      <c r="K48" s="42">
        <f>(J48*ТАРИФЫ!$G$8)/1000</f>
        <v>127.0142</v>
      </c>
      <c r="L48" s="42">
        <v>1000</v>
      </c>
      <c r="M48" s="42">
        <f>(L48*ТАРИФЫ!$F$12)/1000</f>
        <v>170.90979999999999</v>
      </c>
      <c r="N48" s="42">
        <v>0</v>
      </c>
      <c r="O48" s="42">
        <v>0</v>
      </c>
      <c r="P48" s="43">
        <f t="shared" ref="P48:P49" si="30">C48+E48+G48+I48+K48+M48+O48</f>
        <v>297.92399999999998</v>
      </c>
      <c r="Q48" s="40"/>
      <c r="R48" s="40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8"/>
      <c r="CG48" s="28"/>
      <c r="CH48" s="28"/>
      <c r="CI48" s="28"/>
      <c r="CJ48" s="28"/>
      <c r="CK48" s="28"/>
      <c r="CL48" s="28"/>
      <c r="CM48" s="28"/>
      <c r="CN48" s="28"/>
      <c r="CO48" s="28"/>
      <c r="CP48" s="28"/>
      <c r="CQ48" s="28"/>
      <c r="CR48" s="28"/>
      <c r="CS48" s="28"/>
      <c r="CT48" s="28"/>
      <c r="CU48" s="28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  <c r="DI48" s="28"/>
      <c r="DJ48" s="28"/>
      <c r="DK48" s="28"/>
      <c r="DL48" s="28"/>
      <c r="DM48" s="28"/>
      <c r="DN48" s="28"/>
      <c r="DO48" s="28"/>
      <c r="DP48" s="28"/>
      <c r="DQ48" s="28"/>
      <c r="DR48" s="28"/>
      <c r="DS48" s="28"/>
      <c r="DT48" s="28"/>
      <c r="DU48" s="28"/>
      <c r="DV48" s="28"/>
      <c r="DW48" s="28"/>
      <c r="DX48" s="28"/>
      <c r="DY48" s="28"/>
      <c r="DZ48" s="28"/>
      <c r="EA48" s="28"/>
      <c r="EB48" s="28"/>
      <c r="EC48" s="28"/>
      <c r="ED48" s="28"/>
      <c r="EE48" s="28"/>
      <c r="EF48" s="28"/>
      <c r="EG48" s="28"/>
      <c r="EH48" s="28"/>
      <c r="EI48" s="28"/>
      <c r="EJ48" s="28"/>
      <c r="EK48" s="28"/>
      <c r="EL48" s="28"/>
      <c r="EM48" s="28"/>
      <c r="EN48" s="28"/>
      <c r="EO48" s="28"/>
      <c r="EP48" s="28"/>
      <c r="EQ48" s="28"/>
      <c r="ER48" s="28"/>
      <c r="ES48" s="28"/>
      <c r="ET48" s="28"/>
      <c r="EU48" s="28"/>
      <c r="EV48" s="28"/>
      <c r="EW48" s="28"/>
      <c r="EX48" s="28"/>
      <c r="EY48" s="28"/>
      <c r="EZ48" s="28"/>
      <c r="FA48" s="28"/>
      <c r="FB48" s="28"/>
      <c r="FC48" s="28"/>
      <c r="FD48" s="28"/>
      <c r="FE48" s="28"/>
      <c r="FF48" s="28"/>
      <c r="FG48" s="28"/>
      <c r="FH48" s="28"/>
      <c r="FI48" s="28"/>
      <c r="FJ48" s="28"/>
      <c r="FK48" s="28"/>
      <c r="FL48" s="28"/>
      <c r="FM48" s="28"/>
      <c r="FN48" s="28"/>
      <c r="FO48" s="28"/>
      <c r="FP48" s="28"/>
      <c r="FQ48" s="28"/>
      <c r="FR48" s="28"/>
      <c r="FS48" s="28"/>
      <c r="FT48" s="28"/>
      <c r="FU48" s="28"/>
      <c r="FV48" s="28"/>
      <c r="FW48" s="28"/>
      <c r="FX48" s="28"/>
      <c r="FY48" s="28"/>
      <c r="FZ48" s="28"/>
      <c r="GA48" s="28"/>
      <c r="GB48" s="28"/>
      <c r="GC48" s="28"/>
      <c r="GD48" s="28"/>
      <c r="GE48" s="28"/>
      <c r="GF48" s="28"/>
      <c r="GG48" s="28"/>
    </row>
    <row r="49" spans="1:189" s="49" customFormat="1" ht="19.5" thickBot="1" x14ac:dyDescent="0.35">
      <c r="A49" s="50" t="s">
        <v>82</v>
      </c>
      <c r="B49" s="45">
        <v>0</v>
      </c>
      <c r="C49" s="45">
        <v>0</v>
      </c>
      <c r="D49" s="45">
        <v>0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6">
        <f t="shared" si="30"/>
        <v>0</v>
      </c>
      <c r="Q49" s="40"/>
      <c r="R49" s="40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C49" s="28"/>
      <c r="CD49" s="28"/>
      <c r="CE49" s="28"/>
      <c r="CF49" s="28"/>
      <c r="CG49" s="28"/>
      <c r="CH49" s="28"/>
      <c r="CI49" s="28"/>
      <c r="CJ49" s="28"/>
      <c r="CK49" s="28"/>
      <c r="CL49" s="28"/>
      <c r="CM49" s="28"/>
      <c r="CN49" s="28"/>
      <c r="CO49" s="28"/>
      <c r="CP49" s="28"/>
      <c r="CQ49" s="28"/>
      <c r="CR49" s="28"/>
      <c r="CS49" s="28"/>
      <c r="CT49" s="28"/>
      <c r="CU49" s="28"/>
      <c r="CV49" s="28"/>
      <c r="CW49" s="28"/>
      <c r="CX49" s="28"/>
      <c r="CY49" s="28"/>
      <c r="CZ49" s="28"/>
      <c r="DA49" s="28"/>
      <c r="DB49" s="28"/>
      <c r="DC49" s="28"/>
      <c r="DD49" s="28"/>
      <c r="DE49" s="28"/>
      <c r="DF49" s="28"/>
      <c r="DG49" s="28"/>
      <c r="DH49" s="28"/>
      <c r="DI49" s="28"/>
      <c r="DJ49" s="28"/>
      <c r="DK49" s="28"/>
      <c r="DL49" s="28"/>
      <c r="DM49" s="28"/>
      <c r="DN49" s="28"/>
      <c r="DO49" s="28"/>
      <c r="DP49" s="28"/>
      <c r="DQ49" s="28"/>
      <c r="DR49" s="28"/>
      <c r="DS49" s="28"/>
      <c r="DT49" s="28"/>
      <c r="DU49" s="28"/>
      <c r="DV49" s="28"/>
      <c r="DW49" s="28"/>
      <c r="DX49" s="28"/>
      <c r="DY49" s="28"/>
      <c r="DZ49" s="28"/>
      <c r="EA49" s="28"/>
      <c r="EB49" s="28"/>
      <c r="EC49" s="28"/>
      <c r="ED49" s="28"/>
      <c r="EE49" s="28"/>
      <c r="EF49" s="28"/>
      <c r="EG49" s="28"/>
      <c r="EH49" s="28"/>
      <c r="EI49" s="28"/>
      <c r="EJ49" s="28"/>
      <c r="EK49" s="28"/>
      <c r="EL49" s="28"/>
      <c r="EM49" s="28"/>
      <c r="EN49" s="28"/>
      <c r="EO49" s="28"/>
      <c r="EP49" s="28"/>
      <c r="EQ49" s="28"/>
      <c r="ER49" s="28"/>
      <c r="ES49" s="28"/>
      <c r="ET49" s="28"/>
      <c r="EU49" s="28"/>
      <c r="EV49" s="28"/>
      <c r="EW49" s="28"/>
      <c r="EX49" s="28"/>
      <c r="EY49" s="28"/>
      <c r="EZ49" s="28"/>
      <c r="FA49" s="28"/>
      <c r="FB49" s="28"/>
      <c r="FC49" s="28"/>
      <c r="FD49" s="28"/>
      <c r="FE49" s="28"/>
      <c r="FF49" s="28"/>
      <c r="FG49" s="28"/>
      <c r="FH49" s="28"/>
      <c r="FI49" s="28"/>
      <c r="FJ49" s="28"/>
      <c r="FK49" s="28"/>
      <c r="FL49" s="28"/>
      <c r="FM49" s="28"/>
      <c r="FN49" s="28"/>
      <c r="FO49" s="28"/>
      <c r="FP49" s="28"/>
      <c r="FQ49" s="28"/>
      <c r="FR49" s="28"/>
      <c r="FS49" s="28"/>
      <c r="FT49" s="28"/>
      <c r="FU49" s="28"/>
      <c r="FV49" s="28"/>
      <c r="FW49" s="28"/>
      <c r="FX49" s="28"/>
      <c r="FY49" s="28"/>
      <c r="FZ49" s="28"/>
      <c r="GA49" s="28"/>
      <c r="GB49" s="28"/>
      <c r="GC49" s="28"/>
      <c r="GD49" s="28"/>
      <c r="GE49" s="28"/>
      <c r="GF49" s="28"/>
      <c r="GG49" s="28"/>
    </row>
    <row r="50" spans="1:189" ht="19.5" thickBot="1" x14ac:dyDescent="0.35">
      <c r="A50" s="82" t="s">
        <v>10</v>
      </c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4"/>
      <c r="Q50" s="40"/>
      <c r="R50" s="40"/>
    </row>
    <row r="51" spans="1:189" ht="75" x14ac:dyDescent="0.3">
      <c r="A51" s="37" t="s">
        <v>68</v>
      </c>
      <c r="B51" s="38">
        <f t="shared" ref="B51:D51" si="31">B52+B53</f>
        <v>119.8</v>
      </c>
      <c r="C51" s="38">
        <f t="shared" si="31"/>
        <v>1443.986144</v>
      </c>
      <c r="D51" s="38">
        <f t="shared" si="31"/>
        <v>1201.2</v>
      </c>
      <c r="E51" s="38">
        <f>E52+E53</f>
        <v>17134.055686800002</v>
      </c>
      <c r="F51" s="38">
        <f t="shared" ref="F51" si="32">F52+F53</f>
        <v>97.3</v>
      </c>
      <c r="G51" s="38">
        <f t="shared" ref="G51" si="33">G52+G53</f>
        <v>1348.8849236000001</v>
      </c>
      <c r="H51" s="38">
        <f t="shared" ref="H51:I51" si="34">H52+H53</f>
        <v>1728.9</v>
      </c>
      <c r="I51" s="38">
        <f t="shared" si="34"/>
        <v>187.38585974</v>
      </c>
      <c r="J51" s="38">
        <f t="shared" ref="J51" si="35">J52+J53</f>
        <v>1915.6999999999998</v>
      </c>
      <c r="K51" s="38">
        <f t="shared" ref="K51" si="36">K52+K53</f>
        <v>207.63214037999998</v>
      </c>
      <c r="L51" s="38">
        <f t="shared" ref="L51:M51" si="37">L52+L53</f>
        <v>3644.6</v>
      </c>
      <c r="M51" s="38">
        <f t="shared" si="37"/>
        <v>681.87627559999987</v>
      </c>
      <c r="N51" s="38">
        <f t="shared" ref="N51" si="38">N52+N53</f>
        <v>140</v>
      </c>
      <c r="O51" s="38">
        <f t="shared" ref="O51" si="39">O52+O53</f>
        <v>84.475999999999999</v>
      </c>
      <c r="P51" s="39">
        <f>P52+P53</f>
        <v>21088.397030120002</v>
      </c>
      <c r="Q51" s="40"/>
      <c r="R51" s="40"/>
    </row>
    <row r="52" spans="1:189" x14ac:dyDescent="0.3">
      <c r="A52" s="47" t="s">
        <v>81</v>
      </c>
      <c r="B52" s="42">
        <v>89.8</v>
      </c>
      <c r="C52" s="42">
        <f>B52*ТАРИФЫ!$F$16</f>
        <v>1069.26656</v>
      </c>
      <c r="D52" s="42">
        <v>823.7</v>
      </c>
      <c r="E52" s="42">
        <f>D52*ТАРИФЫ!$F$4/1000</f>
        <v>10140.788156800001</v>
      </c>
      <c r="F52" s="42">
        <v>73</v>
      </c>
      <c r="G52" s="42">
        <f>F52*ТАРИФЫ!$F$4/1000</f>
        <v>898.72227200000009</v>
      </c>
      <c r="H52" s="42">
        <v>1296.7</v>
      </c>
      <c r="I52" s="42">
        <f>H52*ТАРИФЫ!$F$8/1000</f>
        <v>132.49032250000002</v>
      </c>
      <c r="J52" s="42">
        <v>1436.8</v>
      </c>
      <c r="K52" s="42">
        <f>J52*ТАРИФЫ!$F$8/1000</f>
        <v>146.80503999999999</v>
      </c>
      <c r="L52" s="42">
        <f>H52+J52</f>
        <v>2733.5</v>
      </c>
      <c r="M52" s="42">
        <f>L52*ТАРИФЫ!$F$12/1000</f>
        <v>467.18193829999996</v>
      </c>
      <c r="N52" s="42">
        <v>105</v>
      </c>
      <c r="O52" s="42">
        <f>N52*ТАРИФЫ!E20/1000</f>
        <v>63.356999999999999</v>
      </c>
      <c r="P52" s="43">
        <f>C52+E52+G52+I52+K52+M52+O52+0.1</f>
        <v>12918.711289600002</v>
      </c>
      <c r="Q52" s="40"/>
      <c r="R52" s="40"/>
    </row>
    <row r="53" spans="1:189" x14ac:dyDescent="0.3">
      <c r="A53" s="47" t="s">
        <v>82</v>
      </c>
      <c r="B53" s="42">
        <v>30</v>
      </c>
      <c r="C53" s="42">
        <f>B53*ТАРИФЫ!$G$16</f>
        <v>374.719584</v>
      </c>
      <c r="D53" s="42">
        <v>377.5</v>
      </c>
      <c r="E53" s="42">
        <f>D53*ТАРИФЫ!$G$4/1000</f>
        <v>6993.2675300000001</v>
      </c>
      <c r="F53" s="42">
        <v>24.3</v>
      </c>
      <c r="G53" s="42">
        <f>F53*ТАРИФЫ!$G$4/1000</f>
        <v>450.1626516</v>
      </c>
      <c r="H53" s="42">
        <v>432.2</v>
      </c>
      <c r="I53" s="42">
        <f>H53*ТАРИФЫ!$G$8/1000</f>
        <v>54.895537239999996</v>
      </c>
      <c r="J53" s="42">
        <v>478.9</v>
      </c>
      <c r="K53" s="42">
        <f>J53*ТАРИФЫ!$G$8/1000</f>
        <v>60.827100379999997</v>
      </c>
      <c r="L53" s="42">
        <f>H53+J53</f>
        <v>911.09999999999991</v>
      </c>
      <c r="M53" s="42">
        <f>L53*ТАРИФЫ!$G$12/1000</f>
        <v>214.69433729999997</v>
      </c>
      <c r="N53" s="42">
        <v>35</v>
      </c>
      <c r="O53" s="42">
        <f>N53*ТАРИФЫ!E20/1000</f>
        <v>21.119</v>
      </c>
      <c r="P53" s="43">
        <f>C53+E53+G53+I53+K53+M53+O53</f>
        <v>8169.6857405199999</v>
      </c>
      <c r="Q53" s="40"/>
      <c r="R53" s="40"/>
    </row>
    <row r="54" spans="1:189" ht="55.5" customHeight="1" x14ac:dyDescent="0.3">
      <c r="A54" s="48" t="s">
        <v>69</v>
      </c>
      <c r="B54" s="42">
        <f>B55+B56</f>
        <v>33.85</v>
      </c>
      <c r="C54" s="42">
        <f>C55+C56-0.1</f>
        <v>407.77220560000001</v>
      </c>
      <c r="D54" s="42">
        <f t="shared" ref="D54:L54" si="40">D55+D56</f>
        <v>451.2</v>
      </c>
      <c r="E54" s="42">
        <f t="shared" si="40"/>
        <v>13760.399417519999</v>
      </c>
      <c r="F54" s="42">
        <f t="shared" si="40"/>
        <v>65.3</v>
      </c>
      <c r="G54" s="42">
        <f>G55+G56-0.1</f>
        <v>1980.5672354800004</v>
      </c>
      <c r="H54" s="42">
        <f t="shared" si="40"/>
        <v>703.5</v>
      </c>
      <c r="I54" s="42">
        <f t="shared" si="40"/>
        <v>120.52226768</v>
      </c>
      <c r="J54" s="42">
        <f t="shared" si="40"/>
        <v>821.6</v>
      </c>
      <c r="K54" s="42">
        <f>K55+K56</f>
        <v>142.04679722</v>
      </c>
      <c r="L54" s="42">
        <f t="shared" si="40"/>
        <v>1525.1000000000001</v>
      </c>
      <c r="M54" s="42">
        <f>M55+M56</f>
        <v>292.93891652000002</v>
      </c>
      <c r="N54" s="42">
        <f>N55+N56</f>
        <v>49.8</v>
      </c>
      <c r="O54" s="42">
        <f>O55+O56</f>
        <v>30.049320000000002</v>
      </c>
      <c r="P54" s="43">
        <f>C54+E54+G54+I54+K54+M54+O54-0.1</f>
        <v>16734.196160020001</v>
      </c>
      <c r="Q54" s="40"/>
      <c r="R54" s="40"/>
    </row>
    <row r="55" spans="1:189" x14ac:dyDescent="0.3">
      <c r="A55" s="47" t="s">
        <v>81</v>
      </c>
      <c r="B55" s="42">
        <v>25.6</v>
      </c>
      <c r="C55" s="42">
        <f>B55*ТАРИФЫ!$F$16</f>
        <v>304.82432</v>
      </c>
      <c r="D55" s="42">
        <v>325.2</v>
      </c>
      <c r="E55" s="42">
        <f>D55*ТАРИФЫ!$F$7/1000</f>
        <v>9410.5415359199997</v>
      </c>
      <c r="F55" s="42">
        <v>49</v>
      </c>
      <c r="G55" s="42">
        <f>F55*ТАРИФЫ!$F$7/1000</f>
        <v>1417.9475254000001</v>
      </c>
      <c r="H55" s="42">
        <v>527.6</v>
      </c>
      <c r="I55" s="42">
        <f>H55*ТАРИФЫ!$F$11/1000</f>
        <v>80.632791440000005</v>
      </c>
      <c r="J55" s="42">
        <v>598.70000000000005</v>
      </c>
      <c r="K55" s="42">
        <f>J55*ТАРИФЫ!$F$11/1000</f>
        <v>91.498961780000002</v>
      </c>
      <c r="L55" s="42">
        <f t="shared" ref="L55:L56" si="41">H55+J55</f>
        <v>1126.3000000000002</v>
      </c>
      <c r="M55" s="42">
        <f>L55*ТАРИФЫ!$F$15/1000</f>
        <v>191.90485076000002</v>
      </c>
      <c r="N55" s="42">
        <v>37</v>
      </c>
      <c r="O55" s="42">
        <f>N55*ТАРИФЫ!$E$20/1000</f>
        <v>22.325800000000001</v>
      </c>
      <c r="P55" s="43">
        <f>C55+E55+G55+I55+K55+M55+O55-0.2</f>
        <v>11519.475785300001</v>
      </c>
      <c r="Q55" s="40"/>
      <c r="R55" s="40"/>
    </row>
    <row r="56" spans="1:189" x14ac:dyDescent="0.3">
      <c r="A56" s="47" t="s">
        <v>82</v>
      </c>
      <c r="B56" s="42">
        <v>8.25</v>
      </c>
      <c r="C56" s="42">
        <f>B56*ТАРИФЫ!$G$16</f>
        <v>103.0478856</v>
      </c>
      <c r="D56" s="42">
        <v>126</v>
      </c>
      <c r="E56" s="42">
        <f>D56*ТАРИФЫ!$G$7/1000</f>
        <v>4349.8578815999999</v>
      </c>
      <c r="F56" s="42">
        <v>16.3</v>
      </c>
      <c r="G56" s="42">
        <f>F56*ТАРИФЫ!$G$7/1000</f>
        <v>562.71971008000003</v>
      </c>
      <c r="H56" s="42">
        <v>175.9</v>
      </c>
      <c r="I56" s="42">
        <f>H56*ТАРИФЫ!$G$11/1000</f>
        <v>39.889476239999993</v>
      </c>
      <c r="J56" s="42">
        <v>222.9</v>
      </c>
      <c r="K56" s="42">
        <f>J56*ТАРИФЫ!$G$11/1000</f>
        <v>50.547835439999993</v>
      </c>
      <c r="L56" s="42">
        <f t="shared" si="41"/>
        <v>398.8</v>
      </c>
      <c r="M56" s="42">
        <f>L56*ТАРИФЫ!$G$15/1000</f>
        <v>101.03406576</v>
      </c>
      <c r="N56" s="42">
        <v>12.8</v>
      </c>
      <c r="O56" s="42">
        <f>N56*ТАРИФЫ!$E$20/1000</f>
        <v>7.7235200000000006</v>
      </c>
      <c r="P56" s="43">
        <f>C56+E56+G56+I56+K56+M56+O56-0.1</f>
        <v>5214.7203747199992</v>
      </c>
      <c r="Q56" s="40"/>
      <c r="R56" s="40"/>
    </row>
    <row r="57" spans="1:189" ht="71.25" customHeight="1" x14ac:dyDescent="0.3">
      <c r="A57" s="48" t="s">
        <v>70</v>
      </c>
      <c r="B57" s="42">
        <f>B58+B59</f>
        <v>38.5</v>
      </c>
      <c r="C57" s="42">
        <f t="shared" ref="C57:I57" si="42">C58+C59</f>
        <v>464.20338272000004</v>
      </c>
      <c r="D57" s="42">
        <f t="shared" si="42"/>
        <v>484.29999999999995</v>
      </c>
      <c r="E57" s="42">
        <f t="shared" si="42"/>
        <v>15332.396178219999</v>
      </c>
      <c r="F57" s="42">
        <f t="shared" si="42"/>
        <v>0</v>
      </c>
      <c r="G57" s="42">
        <f t="shared" si="42"/>
        <v>0</v>
      </c>
      <c r="H57" s="42">
        <f t="shared" si="42"/>
        <v>0</v>
      </c>
      <c r="I57" s="42">
        <f t="shared" si="42"/>
        <v>0</v>
      </c>
      <c r="J57" s="42">
        <f t="shared" ref="J57" si="43">J58+J59</f>
        <v>594.1</v>
      </c>
      <c r="K57" s="42">
        <f t="shared" ref="K57" si="44">K58+K59</f>
        <v>64.390788700000002</v>
      </c>
      <c r="L57" s="42">
        <f t="shared" ref="L57" si="45">L58+L59</f>
        <v>594.1</v>
      </c>
      <c r="M57" s="42">
        <f t="shared" ref="M57" si="46">M58+M59</f>
        <v>101.97560686000001</v>
      </c>
      <c r="N57" s="42">
        <f>N58+N59</f>
        <v>15</v>
      </c>
      <c r="O57" s="42">
        <f>O58+O59-0.1</f>
        <v>8.9510000000000005</v>
      </c>
      <c r="P57" s="43">
        <f>C57+E57+G57+I57+K57+M57+O57+0.1</f>
        <v>15972.016956499998</v>
      </c>
      <c r="Q57" s="40"/>
      <c r="R57" s="40"/>
    </row>
    <row r="58" spans="1:189" x14ac:dyDescent="0.3">
      <c r="A58" s="47" t="s">
        <v>81</v>
      </c>
      <c r="B58" s="42">
        <v>28.6</v>
      </c>
      <c r="C58" s="42">
        <f>B58*ТАРИФЫ!$F$16</f>
        <v>340.54592000000002</v>
      </c>
      <c r="D58" s="42">
        <v>363.2</v>
      </c>
      <c r="E58" s="42">
        <f>D58*ТАРИФЫ!$F$6/1000</f>
        <v>10333.77460832</v>
      </c>
      <c r="F58" s="42">
        <v>0</v>
      </c>
      <c r="G58" s="42">
        <f>F58*ТАРИФЫ!$F$6/1000</f>
        <v>0</v>
      </c>
      <c r="H58" s="42">
        <v>0</v>
      </c>
      <c r="I58" s="42">
        <f>H58*ТАРИФЫ!$F$10/1000</f>
        <v>0</v>
      </c>
      <c r="J58" s="42">
        <v>445.6</v>
      </c>
      <c r="K58" s="42">
        <f>J58*ТАРИФЫ!$F$10/1000</f>
        <v>45.529180000000004</v>
      </c>
      <c r="L58" s="42">
        <f t="shared" ref="L58:L142" si="47">H58+J58</f>
        <v>445.6</v>
      </c>
      <c r="M58" s="42">
        <f>L58*ТАРИФЫ!$F$14/1000</f>
        <v>74.656982560000017</v>
      </c>
      <c r="N58" s="42">
        <v>11.3</v>
      </c>
      <c r="O58" s="42">
        <f>N58*ТАРИФЫ!$E$20/1000</f>
        <v>6.8184199999999997</v>
      </c>
      <c r="P58" s="43">
        <f>C58+E58+G58+I58+K58+M58+O58</f>
        <v>10801.32511088</v>
      </c>
      <c r="Q58" s="40"/>
      <c r="R58" s="40"/>
    </row>
    <row r="59" spans="1:189" x14ac:dyDescent="0.3">
      <c r="A59" s="47" t="s">
        <v>82</v>
      </c>
      <c r="B59" s="42">
        <v>9.9</v>
      </c>
      <c r="C59" s="42">
        <f>B59*ТАРИФЫ!$G$16</f>
        <v>123.65746272</v>
      </c>
      <c r="D59" s="42">
        <v>121.1</v>
      </c>
      <c r="E59" s="42">
        <f>D59*ТАРИФЫ!$G$6/1000</f>
        <v>4998.6215698999986</v>
      </c>
      <c r="F59" s="42">
        <v>0</v>
      </c>
      <c r="G59" s="42">
        <f>F59*ТАРИФЫ!$G$6/1000</f>
        <v>0</v>
      </c>
      <c r="H59" s="42">
        <v>0</v>
      </c>
      <c r="I59" s="42">
        <f>H59*ТАРИФЫ!$G$10/1000</f>
        <v>0</v>
      </c>
      <c r="J59" s="42">
        <v>148.5</v>
      </c>
      <c r="K59" s="42">
        <f>J59*ТАРИФЫ!$G$10/1000</f>
        <v>18.861608700000001</v>
      </c>
      <c r="L59" s="42">
        <f t="shared" si="47"/>
        <v>148.5</v>
      </c>
      <c r="M59" s="42">
        <f>L59*ТАРИФЫ!$G$14/1000</f>
        <v>27.3186243</v>
      </c>
      <c r="N59" s="42">
        <v>3.7</v>
      </c>
      <c r="O59" s="42">
        <f>N59*ТАРИФЫ!$E$20/1000</f>
        <v>2.23258</v>
      </c>
      <c r="P59" s="43">
        <f>C59+E59+G59+I59+K59+M59+O59</f>
        <v>5170.6918456199983</v>
      </c>
      <c r="Q59" s="40"/>
      <c r="R59" s="40"/>
    </row>
    <row r="60" spans="1:189" ht="63" customHeight="1" x14ac:dyDescent="0.3">
      <c r="A60" s="48" t="s">
        <v>71</v>
      </c>
      <c r="B60" s="42">
        <f>B61+B62</f>
        <v>105.8</v>
      </c>
      <c r="C60" s="42">
        <f t="shared" ref="C60:M60" si="48">C61+C62</f>
        <v>1275.2432592</v>
      </c>
      <c r="D60" s="42">
        <f t="shared" si="48"/>
        <v>750.09999999999991</v>
      </c>
      <c r="E60" s="42">
        <f t="shared" si="48"/>
        <v>10330.1981588</v>
      </c>
      <c r="F60" s="42">
        <f t="shared" si="48"/>
        <v>133.9</v>
      </c>
      <c r="G60" s="42">
        <f t="shared" si="48"/>
        <v>1865.9664296000001</v>
      </c>
      <c r="H60" s="42">
        <f t="shared" si="48"/>
        <v>2051.1</v>
      </c>
      <c r="I60" s="42">
        <f t="shared" si="48"/>
        <v>222.30868426000001</v>
      </c>
      <c r="J60" s="42">
        <f t="shared" si="48"/>
        <v>1338</v>
      </c>
      <c r="K60" s="42">
        <f t="shared" si="48"/>
        <v>145.01886239999999</v>
      </c>
      <c r="L60" s="42">
        <f>L61+L62</f>
        <v>3389.1000000000004</v>
      </c>
      <c r="M60" s="42">
        <f t="shared" si="48"/>
        <v>634.07884353999998</v>
      </c>
      <c r="N60" s="42">
        <f>N61+N62</f>
        <v>197.5</v>
      </c>
      <c r="O60" s="42">
        <f>O61+O62</f>
        <v>119.17149999999999</v>
      </c>
      <c r="P60" s="43">
        <f>C60+E60+G60+I60+K60+M60+O60</f>
        <v>14591.985737800002</v>
      </c>
      <c r="Q60" s="40"/>
      <c r="R60" s="40"/>
    </row>
    <row r="61" spans="1:189" x14ac:dyDescent="0.3">
      <c r="A61" s="47" t="s">
        <v>81</v>
      </c>
      <c r="B61" s="42">
        <v>79.3</v>
      </c>
      <c r="C61" s="42">
        <f>B61*ТАРИФЫ!$F$16</f>
        <v>944.24095999999997</v>
      </c>
      <c r="D61" s="42">
        <v>573.79999999999995</v>
      </c>
      <c r="E61" s="42">
        <f>D61*ТАРИФЫ!$F$4/1000</f>
        <v>7064.2032832000004</v>
      </c>
      <c r="F61" s="42">
        <v>98.9</v>
      </c>
      <c r="G61" s="42">
        <f>F61*ТАРИФЫ!$F$4/1000</f>
        <v>1217.5840096000002</v>
      </c>
      <c r="H61" s="42">
        <v>1538.3</v>
      </c>
      <c r="I61" s="42">
        <f>H61*ТАРИФЫ!$F$8/1000</f>
        <v>157.1758025</v>
      </c>
      <c r="J61" s="42">
        <v>1003.5</v>
      </c>
      <c r="K61" s="42">
        <f>J61*ТАРИФЫ!$F$8/1000</f>
        <v>102.5326125</v>
      </c>
      <c r="L61" s="42">
        <f>H61+J61</f>
        <v>2541.8000000000002</v>
      </c>
      <c r="M61" s="42">
        <f>L61*ТАРИФЫ!$F$12/1000</f>
        <v>434.41852964000003</v>
      </c>
      <c r="N61" s="42">
        <v>148.1</v>
      </c>
      <c r="O61" s="42">
        <f>N61*ТАРИФЫ!$E$20/1000</f>
        <v>89.36354</v>
      </c>
      <c r="P61" s="43">
        <f>C61+E61+G61+I61+K61+M61+O61</f>
        <v>10009.518737439999</v>
      </c>
      <c r="Q61" s="40"/>
      <c r="R61" s="40"/>
    </row>
    <row r="62" spans="1:189" ht="19.5" thickBot="1" x14ac:dyDescent="0.35">
      <c r="A62" s="51" t="s">
        <v>82</v>
      </c>
      <c r="B62" s="52">
        <v>26.5</v>
      </c>
      <c r="C62" s="52">
        <f>B62*ТАРИФЫ!$G$16</f>
        <v>331.00229919999998</v>
      </c>
      <c r="D62" s="52">
        <v>176.3</v>
      </c>
      <c r="E62" s="52">
        <f>D62*ТАРИФЫ!$G$4/1000</f>
        <v>3265.9948755999999</v>
      </c>
      <c r="F62" s="52">
        <v>35</v>
      </c>
      <c r="G62" s="52">
        <f>F62*ТАРИФЫ!$G$4/1000</f>
        <v>648.38241999999991</v>
      </c>
      <c r="H62" s="52">
        <v>512.79999999999995</v>
      </c>
      <c r="I62" s="52">
        <f>H62*ТАРИФЫ!$G$8/1000</f>
        <v>65.132881760000004</v>
      </c>
      <c r="J62" s="52">
        <v>334.5</v>
      </c>
      <c r="K62" s="52">
        <f>J62*ТАРИФЫ!$G$8/1000</f>
        <v>42.486249900000004</v>
      </c>
      <c r="L62" s="52">
        <f>H62+J62</f>
        <v>847.3</v>
      </c>
      <c r="M62" s="52">
        <f>L62*ТАРИФЫ!$G$12/1000</f>
        <v>199.66031389999998</v>
      </c>
      <c r="N62" s="52">
        <v>49.4</v>
      </c>
      <c r="O62" s="52">
        <f>N62*ТАРИФЫ!$E$20/1000</f>
        <v>29.807959999999998</v>
      </c>
      <c r="P62" s="53">
        <f>C62+E62+G62+I62+K62+M62+O62</f>
        <v>4582.4670003599995</v>
      </c>
      <c r="Q62" s="40"/>
      <c r="R62" s="40"/>
    </row>
    <row r="63" spans="1:189" ht="56.25" x14ac:dyDescent="0.3">
      <c r="A63" s="37" t="s">
        <v>84</v>
      </c>
      <c r="B63" s="38">
        <f>B64+B65</f>
        <v>78.099999999999994</v>
      </c>
      <c r="C63" s="38">
        <f>C64+C65-0.1</f>
        <v>942.49655519999999</v>
      </c>
      <c r="D63" s="38">
        <f t="shared" ref="D63:E63" si="49">D64+D65</f>
        <v>593.40000000000009</v>
      </c>
      <c r="E63" s="38">
        <f t="shared" si="49"/>
        <v>11601.0943811</v>
      </c>
      <c r="F63" s="38">
        <f t="shared" ref="F63" si="50">F64+F65</f>
        <v>53.099999999999994</v>
      </c>
      <c r="G63" s="38">
        <f t="shared" ref="G63" si="51">G64+G65</f>
        <v>1038.9698668999999</v>
      </c>
      <c r="H63" s="38">
        <f t="shared" ref="H63" si="52">H64+H65</f>
        <v>942.30000000000007</v>
      </c>
      <c r="I63" s="38">
        <f t="shared" ref="I63" si="53">I64+I65</f>
        <v>102.13161801999999</v>
      </c>
      <c r="J63" s="38">
        <f t="shared" ref="J63" si="54">J64+J65</f>
        <v>2681.2</v>
      </c>
      <c r="K63" s="38">
        <f t="shared" ref="K63" si="55">K64+K65</f>
        <v>290.60132576000001</v>
      </c>
      <c r="L63" s="38">
        <f t="shared" ref="L63" si="56">L64+L65</f>
        <v>3623.5000000000005</v>
      </c>
      <c r="M63" s="38">
        <f>M64+M65+0.1</f>
        <v>677.9334661800001</v>
      </c>
      <c r="N63" s="38">
        <f>N67+N70</f>
        <v>122.5</v>
      </c>
      <c r="O63" s="38">
        <f>O67+O70</f>
        <v>73.916499999999999</v>
      </c>
      <c r="P63" s="39">
        <f>P67+P70+0.1</f>
        <v>14727.143713160001</v>
      </c>
      <c r="Q63" s="40"/>
      <c r="R63" s="40"/>
    </row>
    <row r="64" spans="1:189" x14ac:dyDescent="0.3">
      <c r="A64" s="47" t="s">
        <v>81</v>
      </c>
      <c r="B64" s="42">
        <f>B68+B71</f>
        <v>56.599999999999994</v>
      </c>
      <c r="C64" s="42">
        <f>C68+C71</f>
        <v>673.94751999999994</v>
      </c>
      <c r="D64" s="42">
        <f t="shared" ref="D64:J64" si="57">D68+D71</f>
        <v>445.1</v>
      </c>
      <c r="E64" s="42">
        <f>E68+E71</f>
        <v>5479.7436064000003</v>
      </c>
      <c r="F64" s="42">
        <f t="shared" si="57"/>
        <v>39.799999999999997</v>
      </c>
      <c r="G64" s="42">
        <f>G68+G71</f>
        <v>489.98830720000001</v>
      </c>
      <c r="H64" s="42">
        <f t="shared" si="57"/>
        <v>706.7</v>
      </c>
      <c r="I64" s="42">
        <f>I68+I71</f>
        <v>72.207072499999995</v>
      </c>
      <c r="J64" s="42">
        <f t="shared" si="57"/>
        <v>2010.9</v>
      </c>
      <c r="K64" s="42">
        <f>K68+K71</f>
        <v>205.4637075</v>
      </c>
      <c r="L64" s="42">
        <f t="shared" ref="L64:L65" si="58">H64+J64</f>
        <v>2717.6000000000004</v>
      </c>
      <c r="M64" s="42">
        <f>M68+M71</f>
        <v>464.46447248000004</v>
      </c>
      <c r="N64" s="42">
        <f t="shared" ref="N64" si="59">N68+N71</f>
        <v>94</v>
      </c>
      <c r="O64" s="42">
        <f>O68+O71</f>
        <v>56.7196</v>
      </c>
      <c r="P64" s="43">
        <f>P68+P71</f>
        <v>7442.534286080001</v>
      </c>
      <c r="Q64" s="40"/>
      <c r="R64" s="40"/>
    </row>
    <row r="65" spans="1:18" x14ac:dyDescent="0.3">
      <c r="A65" s="47" t="s">
        <v>82</v>
      </c>
      <c r="B65" s="42">
        <f>B69+B72</f>
        <v>21.5</v>
      </c>
      <c r="C65" s="42">
        <f>C69+C72+0.1</f>
        <v>268.64903520000001</v>
      </c>
      <c r="D65" s="42">
        <f t="shared" ref="D65:J65" si="60">D69+D72</f>
        <v>148.30000000000001</v>
      </c>
      <c r="E65" s="42">
        <f>E69+E72</f>
        <v>6121.3507746999985</v>
      </c>
      <c r="F65" s="42">
        <f t="shared" si="60"/>
        <v>13.3</v>
      </c>
      <c r="G65" s="42">
        <f>G69+G72</f>
        <v>548.98155969999993</v>
      </c>
      <c r="H65" s="42">
        <f t="shared" si="60"/>
        <v>235.6</v>
      </c>
      <c r="I65" s="42">
        <f>I69+I72</f>
        <v>29.924545520000002</v>
      </c>
      <c r="J65" s="42">
        <f t="shared" si="60"/>
        <v>670.3</v>
      </c>
      <c r="K65" s="42">
        <f>K69+K72</f>
        <v>85.137618260000011</v>
      </c>
      <c r="L65" s="42">
        <f t="shared" si="58"/>
        <v>905.9</v>
      </c>
      <c r="M65" s="42">
        <f>M69+M72-0.1</f>
        <v>213.36899370000003</v>
      </c>
      <c r="N65" s="42">
        <f t="shared" ref="N65" si="61">N69+N72</f>
        <v>28.5</v>
      </c>
      <c r="O65" s="42">
        <f>O69+O72</f>
        <v>17.196899999999999</v>
      </c>
      <c r="P65" s="43">
        <f>P69+P72</f>
        <v>7284.6094270800004</v>
      </c>
      <c r="Q65" s="40"/>
      <c r="R65" s="40"/>
    </row>
    <row r="66" spans="1:18" x14ac:dyDescent="0.3">
      <c r="A66" s="70" t="s">
        <v>11</v>
      </c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2"/>
      <c r="Q66" s="40"/>
      <c r="R66" s="40"/>
    </row>
    <row r="67" spans="1:18" ht="56.25" x14ac:dyDescent="0.3">
      <c r="A67" s="48" t="s">
        <v>85</v>
      </c>
      <c r="B67" s="54">
        <f>B68+B69</f>
        <v>43.2</v>
      </c>
      <c r="C67" s="54">
        <f>C68+C69</f>
        <v>520.40060384000003</v>
      </c>
      <c r="D67" s="54">
        <f t="shared" ref="D67:E67" si="62">D68+D69</f>
        <v>316.2</v>
      </c>
      <c r="E67" s="54">
        <f t="shared" si="62"/>
        <v>6181.0997317999991</v>
      </c>
      <c r="F67" s="54">
        <f t="shared" ref="F67" si="63">F68+F69</f>
        <v>37.6</v>
      </c>
      <c r="G67" s="54">
        <f t="shared" ref="G67" si="64">G68+G69</f>
        <v>735.17964940000002</v>
      </c>
      <c r="H67" s="54">
        <f t="shared" ref="H67" si="65">H68+H69</f>
        <v>668.7</v>
      </c>
      <c r="I67" s="54">
        <f>I68+I69-0.1</f>
        <v>72.377536739999996</v>
      </c>
      <c r="J67" s="54">
        <f t="shared" ref="J67" si="66">J68+J69</f>
        <v>1429.9</v>
      </c>
      <c r="K67" s="54">
        <f t="shared" ref="K67" si="67">K68+K69</f>
        <v>154.98004650000001</v>
      </c>
      <c r="L67" s="54">
        <f t="shared" ref="L67" si="68">L68+L69</f>
        <v>2098.6000000000004</v>
      </c>
      <c r="M67" s="54">
        <f t="shared" ref="M67" si="69">M68+M69</f>
        <v>392.63681632000004</v>
      </c>
      <c r="N67" s="54">
        <f>N68+N69</f>
        <v>68.3</v>
      </c>
      <c r="O67" s="54">
        <f>O68+O69</f>
        <v>41.212220000000002</v>
      </c>
      <c r="P67" s="55">
        <f>P68+P69-0.1</f>
        <v>8097.8866046000003</v>
      </c>
      <c r="Q67" s="40"/>
      <c r="R67" s="40"/>
    </row>
    <row r="68" spans="1:18" x14ac:dyDescent="0.3">
      <c r="A68" s="47" t="s">
        <v>81</v>
      </c>
      <c r="B68" s="42">
        <v>32.9</v>
      </c>
      <c r="C68" s="42">
        <f>B68*ТАРИФЫ!$F$16</f>
        <v>391.74687999999998</v>
      </c>
      <c r="D68" s="42">
        <v>237.2</v>
      </c>
      <c r="E68" s="42">
        <f>D68*ТАРИФЫ!$F$4/1000</f>
        <v>2920.2318208000002</v>
      </c>
      <c r="F68" s="42">
        <v>28.2</v>
      </c>
      <c r="G68" s="42">
        <f>F68*ТАРИФЫ!$F$4/1000</f>
        <v>347.1776448</v>
      </c>
      <c r="H68" s="42">
        <v>501.5</v>
      </c>
      <c r="I68" s="42">
        <f>H68*ТАРИФЫ!$F$8/1000</f>
        <v>51.240762499999995</v>
      </c>
      <c r="J68" s="42">
        <v>1072.4000000000001</v>
      </c>
      <c r="K68" s="42">
        <f>J68*ТАРИФЫ!$F$8/1000</f>
        <v>109.57247</v>
      </c>
      <c r="L68" s="42">
        <f t="shared" ref="L68:L69" si="70">H68+J68</f>
        <v>1573.9</v>
      </c>
      <c r="M68" s="42">
        <f>L68*ТАРИФЫ!$F$12/1000</f>
        <v>268.99493422</v>
      </c>
      <c r="N68" s="42">
        <v>52.5</v>
      </c>
      <c r="O68" s="42">
        <f>N68*ТАРИФЫ!$E$20/1000</f>
        <v>31.6785</v>
      </c>
      <c r="P68" s="43">
        <f>C68+E68+G68+I68+K68+M68+O68</f>
        <v>4120.6430123200007</v>
      </c>
      <c r="Q68" s="40"/>
      <c r="R68" s="40"/>
    </row>
    <row r="69" spans="1:18" x14ac:dyDescent="0.3">
      <c r="A69" s="47" t="s">
        <v>82</v>
      </c>
      <c r="B69" s="42">
        <v>10.3</v>
      </c>
      <c r="C69" s="42">
        <f>B69*ТАРИФЫ!$G$16</f>
        <v>128.65372384</v>
      </c>
      <c r="D69" s="42">
        <v>79</v>
      </c>
      <c r="E69" s="42">
        <f>D69*ТАРИФЫ!$G$6/1000</f>
        <v>3260.8679109999994</v>
      </c>
      <c r="F69" s="42">
        <v>9.4</v>
      </c>
      <c r="G69" s="42">
        <f>F69*ТАРИФЫ!$G$6/1000</f>
        <v>388.00200459999996</v>
      </c>
      <c r="H69" s="42">
        <v>167.2</v>
      </c>
      <c r="I69" s="42">
        <f>H69*ТАРИФЫ!$G$8/1000</f>
        <v>21.236774239999999</v>
      </c>
      <c r="J69" s="42">
        <v>357.5</v>
      </c>
      <c r="K69" s="42">
        <f>J69*ТАРИФЫ!$G$8/1000</f>
        <v>45.407576500000005</v>
      </c>
      <c r="L69" s="42">
        <f t="shared" si="70"/>
        <v>524.70000000000005</v>
      </c>
      <c r="M69" s="42">
        <f>L69*ТАРИФЫ!$G$12/1000</f>
        <v>123.64188210000002</v>
      </c>
      <c r="N69" s="42">
        <v>15.8</v>
      </c>
      <c r="O69" s="42">
        <f>N69*ТАРИФЫ!$E$20/1000</f>
        <v>9.5337199999999989</v>
      </c>
      <c r="P69" s="43">
        <f>C69+E69+G69+I69+K69+M69+O69</f>
        <v>3977.3435922799999</v>
      </c>
      <c r="Q69" s="40"/>
      <c r="R69" s="40"/>
    </row>
    <row r="70" spans="1:18" ht="56.25" x14ac:dyDescent="0.3">
      <c r="A70" s="48" t="s">
        <v>86</v>
      </c>
      <c r="B70" s="54">
        <f>B71+B72</f>
        <v>34.9</v>
      </c>
      <c r="C70" s="54">
        <f>C71+C72</f>
        <v>422.09595135999996</v>
      </c>
      <c r="D70" s="54">
        <f t="shared" ref="D70" si="71">D71+D72</f>
        <v>277.2</v>
      </c>
      <c r="E70" s="54">
        <f>E71+E72</f>
        <v>5419.9946492999998</v>
      </c>
      <c r="F70" s="54">
        <f t="shared" ref="F70" si="72">F71+F72</f>
        <v>15.5</v>
      </c>
      <c r="G70" s="54">
        <f t="shared" ref="G70" si="73">G71+G72</f>
        <v>303.79021749999998</v>
      </c>
      <c r="H70" s="54">
        <f t="shared" ref="H70" si="74">H71+H72</f>
        <v>273.60000000000002</v>
      </c>
      <c r="I70" s="54">
        <f t="shared" ref="I70" si="75">I71+I72</f>
        <v>29.65408128</v>
      </c>
      <c r="J70" s="54">
        <f t="shared" ref="J70" si="76">J71+J72</f>
        <v>1251.3</v>
      </c>
      <c r="K70" s="54">
        <f>K71+K72</f>
        <v>135.62127925999999</v>
      </c>
      <c r="L70" s="54">
        <f t="shared" ref="L70" si="77">L71+L72</f>
        <v>1524.9</v>
      </c>
      <c r="M70" s="54">
        <f t="shared" ref="M70" si="78">M71+M72</f>
        <v>285.29664986</v>
      </c>
      <c r="N70" s="54">
        <f>N71+N72</f>
        <v>54.2</v>
      </c>
      <c r="O70" s="54">
        <f>O71+O72</f>
        <v>32.704279999999997</v>
      </c>
      <c r="P70" s="55">
        <f>P71+P72</f>
        <v>6629.1571085599999</v>
      </c>
      <c r="Q70" s="40"/>
      <c r="R70" s="40"/>
    </row>
    <row r="71" spans="1:18" x14ac:dyDescent="0.3">
      <c r="A71" s="47" t="s">
        <v>81</v>
      </c>
      <c r="B71" s="42">
        <v>23.7</v>
      </c>
      <c r="C71" s="42">
        <f>B71*ТАРИФЫ!$F$16</f>
        <v>282.20063999999996</v>
      </c>
      <c r="D71" s="42">
        <v>207.9</v>
      </c>
      <c r="E71" s="42">
        <f>D71*ТАРИФЫ!$F$4/1000</f>
        <v>2559.5117856000002</v>
      </c>
      <c r="F71" s="42">
        <v>11.6</v>
      </c>
      <c r="G71" s="42">
        <f>F71*ТАРИФЫ!$F$4/1000</f>
        <v>142.81066240000001</v>
      </c>
      <c r="H71" s="42">
        <v>205.2</v>
      </c>
      <c r="I71" s="42">
        <f>H71*ТАРИФЫ!$F$8/1000</f>
        <v>20.966309999999996</v>
      </c>
      <c r="J71" s="42">
        <v>938.5</v>
      </c>
      <c r="K71" s="42">
        <f>J71*ТАРИФЫ!$F$8/1000</f>
        <v>95.891237500000003</v>
      </c>
      <c r="L71" s="42">
        <f t="shared" ref="L71:L72" si="79">H71+J71</f>
        <v>1143.7</v>
      </c>
      <c r="M71" s="42">
        <f>L71*ТАРИФЫ!$F$12/1000</f>
        <v>195.46953826000001</v>
      </c>
      <c r="N71" s="42">
        <v>41.5</v>
      </c>
      <c r="O71" s="42">
        <f>N71*ТАРИФЫ!$E$20/1000</f>
        <v>25.0411</v>
      </c>
      <c r="P71" s="43">
        <f>C71+E71+G71+I71+K71+M71+O71</f>
        <v>3321.8912737599999</v>
      </c>
      <c r="Q71" s="40"/>
      <c r="R71" s="40"/>
    </row>
    <row r="72" spans="1:18" ht="19.5" thickBot="1" x14ac:dyDescent="0.35">
      <c r="A72" s="50" t="s">
        <v>82</v>
      </c>
      <c r="B72" s="45">
        <v>11.2</v>
      </c>
      <c r="C72" s="45">
        <f>B72*ТАРИФЫ!$G$16</f>
        <v>139.89531135999999</v>
      </c>
      <c r="D72" s="45">
        <v>69.3</v>
      </c>
      <c r="E72" s="45">
        <f>D72*ТАРИФЫ!$G$6/1000</f>
        <v>2860.4828636999996</v>
      </c>
      <c r="F72" s="45">
        <v>3.9</v>
      </c>
      <c r="G72" s="45">
        <f>F72*ТАРИФЫ!$G$6/1000</f>
        <v>160.97955509999997</v>
      </c>
      <c r="H72" s="45">
        <v>68.400000000000006</v>
      </c>
      <c r="I72" s="45">
        <f>H72*ТАРИФЫ!$G$8/1000</f>
        <v>8.6877712800000015</v>
      </c>
      <c r="J72" s="45">
        <v>312.8</v>
      </c>
      <c r="K72" s="45">
        <f>J72*ТАРИФЫ!$G$8/1000</f>
        <v>39.730041759999999</v>
      </c>
      <c r="L72" s="45">
        <f t="shared" si="79"/>
        <v>381.20000000000005</v>
      </c>
      <c r="M72" s="45">
        <f>L72*ТАРИФЫ!$G$12/1000</f>
        <v>89.827111600000009</v>
      </c>
      <c r="N72" s="45">
        <v>12.7</v>
      </c>
      <c r="O72" s="45">
        <f>N72*ТАРИФЫ!$E$20/1000</f>
        <v>7.6631799999999997</v>
      </c>
      <c r="P72" s="46">
        <f>C72+E72+G72+I72+K72+M72+O72</f>
        <v>3307.2658348</v>
      </c>
      <c r="Q72" s="40"/>
      <c r="R72" s="40"/>
    </row>
    <row r="73" spans="1:18" ht="60" customHeight="1" x14ac:dyDescent="0.3">
      <c r="A73" s="56" t="s">
        <v>72</v>
      </c>
      <c r="B73" s="57">
        <f>B74+B75</f>
        <v>52.4</v>
      </c>
      <c r="C73" s="57">
        <f t="shared" ref="C73:D73" si="80">C74+C75</f>
        <v>631.87223807999999</v>
      </c>
      <c r="D73" s="57">
        <f t="shared" si="80"/>
        <v>928.9</v>
      </c>
      <c r="E73" s="57">
        <f>E74+E75</f>
        <v>28176.506964639997</v>
      </c>
      <c r="F73" s="57">
        <f t="shared" ref="F73" si="81">F74+F75</f>
        <v>47.2</v>
      </c>
      <c r="G73" s="57">
        <f t="shared" ref="G73" si="82">G74+G75</f>
        <v>1431.7623857199999</v>
      </c>
      <c r="H73" s="57">
        <f t="shared" ref="H73" si="83">H74+H75</f>
        <v>771.6</v>
      </c>
      <c r="I73" s="57">
        <f>I74+I75-0.1</f>
        <v>132.08700122000002</v>
      </c>
      <c r="J73" s="57">
        <f t="shared" ref="J73" si="84">J74+J75</f>
        <v>1505.1</v>
      </c>
      <c r="K73" s="57">
        <f t="shared" ref="K73" si="85">K74+K75</f>
        <v>257.84873239999996</v>
      </c>
      <c r="L73" s="57">
        <f t="shared" ref="L73" si="86">L74+L75</f>
        <v>2276.6999999999998</v>
      </c>
      <c r="M73" s="57">
        <f t="shared" ref="M73" si="87">M74+M75</f>
        <v>435.13681683999999</v>
      </c>
      <c r="N73" s="57">
        <f>N74+N75</f>
        <v>102</v>
      </c>
      <c r="O73" s="57">
        <f>O74+O75</f>
        <v>61.546799999999998</v>
      </c>
      <c r="P73" s="43">
        <f>C73+E73+G73+I73+K73+M73+O73-0.1</f>
        <v>31126.6609389</v>
      </c>
      <c r="Q73" s="40"/>
      <c r="R73" s="40"/>
    </row>
    <row r="74" spans="1:18" x14ac:dyDescent="0.3">
      <c r="A74" s="47" t="s">
        <v>81</v>
      </c>
      <c r="B74" s="42">
        <v>38.799999999999997</v>
      </c>
      <c r="C74" s="42">
        <f>B74*ТАРИФЫ!$F$16</f>
        <v>461.99935999999997</v>
      </c>
      <c r="D74" s="42">
        <v>696.8</v>
      </c>
      <c r="E74" s="42">
        <f>D74*ТАРИФЫ!$F$7/1000</f>
        <v>20163.792565279997</v>
      </c>
      <c r="F74" s="42">
        <v>35.4</v>
      </c>
      <c r="G74" s="42">
        <f>F74*ТАРИФЫ!$F$7/1000</f>
        <v>1024.3947428399999</v>
      </c>
      <c r="H74" s="42">
        <v>578.70000000000005</v>
      </c>
      <c r="I74" s="42">
        <f>H74*ТАРИФЫ!$F$11/1000</f>
        <v>88.442373780000011</v>
      </c>
      <c r="J74" s="42">
        <v>1128.8</v>
      </c>
      <c r="K74" s="42">
        <f>J74*ТАРИФЫ!$F$11/1000</f>
        <v>172.51382671999997</v>
      </c>
      <c r="L74" s="42">
        <f t="shared" si="47"/>
        <v>1707.5</v>
      </c>
      <c r="M74" s="42">
        <f>L74*ТАРИФЫ!$F$15/1000</f>
        <v>290.93272899999999</v>
      </c>
      <c r="N74" s="42">
        <v>76.3</v>
      </c>
      <c r="O74" s="42">
        <f>N74*ТАРИФЫ!$E$20/1000</f>
        <v>46.03942</v>
      </c>
      <c r="P74" s="43">
        <f>C74+E74+G74+I74+K74+M74+O74-0.1</f>
        <v>22248.015017619997</v>
      </c>
      <c r="Q74" s="40"/>
      <c r="R74" s="40"/>
    </row>
    <row r="75" spans="1:18" x14ac:dyDescent="0.3">
      <c r="A75" s="47" t="s">
        <v>82</v>
      </c>
      <c r="B75" s="42">
        <v>13.6</v>
      </c>
      <c r="C75" s="42">
        <f>B75*ТАРИФЫ!$G$16</f>
        <v>169.87287807999999</v>
      </c>
      <c r="D75" s="42">
        <v>232.1</v>
      </c>
      <c r="E75" s="42">
        <f>D75*ТАРИФЫ!$G$7/1000</f>
        <v>8012.7143993599993</v>
      </c>
      <c r="F75" s="42">
        <v>11.8</v>
      </c>
      <c r="G75" s="42">
        <f>F75*ТАРИФЫ!$G$7/1000</f>
        <v>407.36764288000001</v>
      </c>
      <c r="H75" s="42">
        <v>192.9</v>
      </c>
      <c r="I75" s="42">
        <f>H75*ТАРИФЫ!$G$11/1000</f>
        <v>43.744627439999995</v>
      </c>
      <c r="J75" s="42">
        <v>376.3</v>
      </c>
      <c r="K75" s="42">
        <f>J75*ТАРИФЫ!$G$11/1000</f>
        <v>85.334905679999991</v>
      </c>
      <c r="L75" s="42">
        <f t="shared" si="47"/>
        <v>569.20000000000005</v>
      </c>
      <c r="M75" s="42">
        <f>L75*ТАРИФЫ!$G$15/1000</f>
        <v>144.20408784</v>
      </c>
      <c r="N75" s="42">
        <v>25.7</v>
      </c>
      <c r="O75" s="42">
        <f>N75*ТАРИФЫ!$E$20/1000</f>
        <v>15.507379999999999</v>
      </c>
      <c r="P75" s="43">
        <f>C75+E75+G75+I75+K75+M75+O75</f>
        <v>8878.7459212800004</v>
      </c>
      <c r="Q75" s="40"/>
      <c r="R75" s="40"/>
    </row>
    <row r="76" spans="1:18" ht="56.25" x14ac:dyDescent="0.3">
      <c r="A76" s="48" t="s">
        <v>73</v>
      </c>
      <c r="B76" s="42">
        <f>B77+B78</f>
        <v>90.600000000000009</v>
      </c>
      <c r="C76" s="42">
        <f t="shared" ref="C76:O76" si="88">C77+C78</f>
        <v>1092.0366985599999</v>
      </c>
      <c r="D76" s="42">
        <f t="shared" si="88"/>
        <v>523.6</v>
      </c>
      <c r="E76" s="42">
        <f t="shared" si="88"/>
        <v>16044.353141039999</v>
      </c>
      <c r="F76" s="42">
        <f t="shared" si="88"/>
        <v>0</v>
      </c>
      <c r="G76" s="42">
        <f t="shared" si="88"/>
        <v>0</v>
      </c>
      <c r="H76" s="42">
        <f t="shared" si="88"/>
        <v>888.4</v>
      </c>
      <c r="I76" s="42">
        <f>I77+I78+0.1</f>
        <v>118.93580433999998</v>
      </c>
      <c r="J76" s="42">
        <f t="shared" si="88"/>
        <v>4344.3999999999996</v>
      </c>
      <c r="K76" s="42">
        <f t="shared" si="88"/>
        <v>581.1236699399999</v>
      </c>
      <c r="L76" s="42">
        <f t="shared" si="88"/>
        <v>5232.8</v>
      </c>
      <c r="M76" s="42">
        <f t="shared" si="88"/>
        <v>230.15973683999999</v>
      </c>
      <c r="N76" s="42">
        <f t="shared" si="88"/>
        <v>32.6</v>
      </c>
      <c r="O76" s="42">
        <f t="shared" si="88"/>
        <v>19.670839999999998</v>
      </c>
      <c r="P76" s="42">
        <f>P77+P78-0.1</f>
        <v>18086.279890720001</v>
      </c>
      <c r="Q76" s="40"/>
      <c r="R76" s="40"/>
    </row>
    <row r="77" spans="1:18" x14ac:dyDescent="0.3">
      <c r="A77" s="47" t="s">
        <v>81</v>
      </c>
      <c r="B77" s="42">
        <v>67.900000000000006</v>
      </c>
      <c r="C77" s="42">
        <f>B77*ТАРИФЫ!$F$16</f>
        <v>808.49887999999999</v>
      </c>
      <c r="D77" s="42">
        <v>385.2</v>
      </c>
      <c r="E77" s="42">
        <f>D77*ТАРИФЫ!$F$5/1000</f>
        <v>11219.475952079998</v>
      </c>
      <c r="F77" s="42">
        <v>0</v>
      </c>
      <c r="G77" s="42">
        <f>F77*ТАРИФЫ!$F$5/1000</f>
        <v>0</v>
      </c>
      <c r="H77" s="42">
        <v>666.3</v>
      </c>
      <c r="I77" s="42">
        <f>H77*ТАРИФЫ!$F$9/1000</f>
        <v>83.068820339999988</v>
      </c>
      <c r="J77" s="42">
        <v>3258.3</v>
      </c>
      <c r="K77" s="42">
        <f>J77*ТАРИФЫ!$F$9/1000</f>
        <v>406.21812593999999</v>
      </c>
      <c r="L77" s="42">
        <f t="shared" si="47"/>
        <v>3924.6000000000004</v>
      </c>
      <c r="M77" s="42">
        <f>L77*ТАРИФЫ!$F$13/1000</f>
        <v>167.48465976</v>
      </c>
      <c r="N77" s="42">
        <v>25</v>
      </c>
      <c r="O77" s="42">
        <f>N77*ТАРИФЫ!$E$20/1000</f>
        <v>15.085000000000001</v>
      </c>
      <c r="P77" s="43">
        <f>C77+E77+G77+I77+K77+M77+O77+0.1</f>
        <v>12699.931438119998</v>
      </c>
      <c r="Q77" s="40"/>
      <c r="R77" s="40"/>
    </row>
    <row r="78" spans="1:18" x14ac:dyDescent="0.3">
      <c r="A78" s="47" t="s">
        <v>82</v>
      </c>
      <c r="B78" s="42">
        <v>22.7</v>
      </c>
      <c r="C78" s="42">
        <f>B78*ТАРИФЫ!$G$16</f>
        <v>283.53781856000001</v>
      </c>
      <c r="D78" s="42">
        <v>138.4</v>
      </c>
      <c r="E78" s="42">
        <f>D78*ТАРИФЫ!$G$5/1000</f>
        <v>4824.8771889600011</v>
      </c>
      <c r="F78" s="42">
        <v>0</v>
      </c>
      <c r="G78" s="42">
        <f>F78*ТАРИФЫ!$G$5/1000</f>
        <v>0</v>
      </c>
      <c r="H78" s="42">
        <v>222.1</v>
      </c>
      <c r="I78" s="42">
        <f>H78*ТАРИФЫ!$G$9/1000</f>
        <v>35.766983999999994</v>
      </c>
      <c r="J78" s="42">
        <v>1086.0999999999999</v>
      </c>
      <c r="K78" s="42">
        <f>J78*ТАРИФЫ!$G$9/1000</f>
        <v>174.90554399999996</v>
      </c>
      <c r="L78" s="42">
        <f t="shared" si="47"/>
        <v>1308.1999999999998</v>
      </c>
      <c r="M78" s="42">
        <f>L78*ТАРИФЫ!$G$13/1000</f>
        <v>62.675077079999994</v>
      </c>
      <c r="N78" s="42">
        <v>7.6</v>
      </c>
      <c r="O78" s="42">
        <f>N78*ТАРИФЫ!$E$20/1000</f>
        <v>4.5858399999999993</v>
      </c>
      <c r="P78" s="43">
        <f>C78+E78+G78+I78+K78+M78+O78+0.1</f>
        <v>5386.4484526000015</v>
      </c>
      <c r="Q78" s="40"/>
      <c r="R78" s="40"/>
    </row>
    <row r="79" spans="1:18" ht="99" customHeight="1" x14ac:dyDescent="0.3">
      <c r="A79" s="48" t="s">
        <v>74</v>
      </c>
      <c r="B79" s="42">
        <f>B80+B81</f>
        <v>30.5</v>
      </c>
      <c r="C79" s="42">
        <f>C80+C81</f>
        <v>367.60384127999998</v>
      </c>
      <c r="D79" s="42">
        <f t="shared" ref="D79:O79" si="89">D80+D81</f>
        <v>169.9</v>
      </c>
      <c r="E79" s="42">
        <f>E80+E81+0.1</f>
        <v>3322.8194160999997</v>
      </c>
      <c r="F79" s="42">
        <f t="shared" si="89"/>
        <v>4</v>
      </c>
      <c r="G79" s="42">
        <f t="shared" si="89"/>
        <v>78.210600999999997</v>
      </c>
      <c r="H79" s="42">
        <f t="shared" si="89"/>
        <v>71.599999999999994</v>
      </c>
      <c r="I79" s="42">
        <f t="shared" si="89"/>
        <v>7.7603516800000012</v>
      </c>
      <c r="J79" s="42">
        <f t="shared" si="89"/>
        <v>402.1</v>
      </c>
      <c r="K79" s="42">
        <f t="shared" si="89"/>
        <v>43.580907100000005</v>
      </c>
      <c r="L79" s="42">
        <f t="shared" si="89"/>
        <v>473.70000000000005</v>
      </c>
      <c r="M79" s="42">
        <f t="shared" si="89"/>
        <v>88.624383140000006</v>
      </c>
      <c r="N79" s="42">
        <f t="shared" si="89"/>
        <v>35.200000000000003</v>
      </c>
      <c r="O79" s="42">
        <f t="shared" si="89"/>
        <v>21.23968</v>
      </c>
      <c r="P79" s="43">
        <f>C79+E79+G79+I79+K79+M79+O79</f>
        <v>3929.8391803</v>
      </c>
      <c r="Q79" s="40"/>
      <c r="R79" s="40"/>
    </row>
    <row r="80" spans="1:18" x14ac:dyDescent="0.3">
      <c r="A80" s="47" t="s">
        <v>81</v>
      </c>
      <c r="B80" s="42">
        <v>22.9</v>
      </c>
      <c r="C80" s="42">
        <f>B80*ТАРИФЫ!$F$16</f>
        <v>272.67487999999997</v>
      </c>
      <c r="D80" s="42">
        <v>127.4</v>
      </c>
      <c r="E80" s="42">
        <f>D80*ТАРИФЫ!$F$4/1000</f>
        <v>1568.4550336000002</v>
      </c>
      <c r="F80" s="42">
        <v>3</v>
      </c>
      <c r="G80" s="42">
        <f>F80*ТАРИФЫ!$F$4/1000</f>
        <v>36.933792000000004</v>
      </c>
      <c r="H80" s="42">
        <v>53.7</v>
      </c>
      <c r="I80" s="42">
        <f>H80*ТАРИФЫ!$F$8/1000</f>
        <v>5.4867975000000007</v>
      </c>
      <c r="J80" s="42">
        <v>301.60000000000002</v>
      </c>
      <c r="K80" s="42">
        <f>J80*ТАРИФЫ!$F$8/1000</f>
        <v>30.815980000000003</v>
      </c>
      <c r="L80" s="42">
        <f t="shared" ref="L80:L81" si="90">H80+J80</f>
        <v>355.3</v>
      </c>
      <c r="M80" s="42">
        <f>L80*ТАРИФЫ!$F$12/1000</f>
        <v>60.724251940000002</v>
      </c>
      <c r="N80" s="42">
        <v>26.4</v>
      </c>
      <c r="O80" s="42">
        <f>N80*ТАРИФЫ!$E$20/1000</f>
        <v>15.929759999999998</v>
      </c>
      <c r="P80" s="43">
        <f>C80+E80+G80+I80+K80+M80+O80</f>
        <v>1991.0204950400002</v>
      </c>
      <c r="Q80" s="40"/>
      <c r="R80" s="40"/>
    </row>
    <row r="81" spans="1:18" ht="19.5" thickBot="1" x14ac:dyDescent="0.35">
      <c r="A81" s="50" t="s">
        <v>82</v>
      </c>
      <c r="B81" s="45">
        <v>7.6</v>
      </c>
      <c r="C81" s="45">
        <f>B81*ТАРИФЫ!$G$16</f>
        <v>94.928961279999996</v>
      </c>
      <c r="D81" s="45">
        <v>42.5</v>
      </c>
      <c r="E81" s="45">
        <f>D81*ТАРИФЫ!$G$6/1000</f>
        <v>1754.2643824999998</v>
      </c>
      <c r="F81" s="45">
        <v>1</v>
      </c>
      <c r="G81" s="45">
        <f>F81*ТАРИФЫ!$G$6/1000</f>
        <v>41.276808999999993</v>
      </c>
      <c r="H81" s="45">
        <v>17.899999999999999</v>
      </c>
      <c r="I81" s="45">
        <f>H81*ТАРИФЫ!$G$8/1000</f>
        <v>2.2735541800000001</v>
      </c>
      <c r="J81" s="45">
        <v>100.5</v>
      </c>
      <c r="K81" s="45">
        <f>J81*ТАРИФЫ!$G$8/1000</f>
        <v>12.764927100000001</v>
      </c>
      <c r="L81" s="45">
        <f t="shared" si="90"/>
        <v>118.4</v>
      </c>
      <c r="M81" s="45">
        <f>L81*ТАРИФЫ!$G$12/1000</f>
        <v>27.900131200000001</v>
      </c>
      <c r="N81" s="45">
        <v>8.8000000000000007</v>
      </c>
      <c r="O81" s="45">
        <f>N81*ТАРИФЫ!$E$20/1000</f>
        <v>5.30992</v>
      </c>
      <c r="P81" s="46">
        <f>C81+E81+G81+I81+K81+M81+O81+0.1</f>
        <v>1938.8186852599997</v>
      </c>
      <c r="Q81" s="40"/>
      <c r="R81" s="40"/>
    </row>
    <row r="82" spans="1:18" x14ac:dyDescent="0.3">
      <c r="A82" s="58" t="s">
        <v>61</v>
      </c>
      <c r="B82" s="57">
        <f>B83+B84</f>
        <v>549.54999999999995</v>
      </c>
      <c r="C82" s="57">
        <f t="shared" ref="C82:O82" si="91">C83+C84</f>
        <v>6625.2143246399992</v>
      </c>
      <c r="D82" s="57">
        <f t="shared" si="91"/>
        <v>5102.6000000000004</v>
      </c>
      <c r="E82" s="57">
        <f t="shared" si="91"/>
        <v>115701.92334421998</v>
      </c>
      <c r="F82" s="57">
        <f t="shared" si="91"/>
        <v>400.79999999999995</v>
      </c>
      <c r="G82" s="57">
        <f>G83+G84</f>
        <v>7744.4614422999985</v>
      </c>
      <c r="H82" s="57">
        <f t="shared" si="91"/>
        <v>7157.4</v>
      </c>
      <c r="I82" s="57">
        <f t="shared" si="91"/>
        <v>891.13158694000003</v>
      </c>
      <c r="J82" s="57">
        <f t="shared" si="91"/>
        <v>13602.2</v>
      </c>
      <c r="K82" s="57">
        <f>K83+K84+0.1</f>
        <v>1732.1432239000001</v>
      </c>
      <c r="L82" s="57">
        <f t="shared" si="91"/>
        <v>20759.599999999999</v>
      </c>
      <c r="M82" s="57">
        <f>M83+M84+0.1</f>
        <v>3142.7240455199999</v>
      </c>
      <c r="N82" s="57">
        <f t="shared" si="91"/>
        <v>694.6</v>
      </c>
      <c r="O82" s="57">
        <f t="shared" si="91"/>
        <v>419.02163999999999</v>
      </c>
      <c r="P82" s="57">
        <f>P83+P84</f>
        <v>136256.51960751996</v>
      </c>
      <c r="Q82" s="40"/>
      <c r="R82" s="40"/>
    </row>
    <row r="83" spans="1:18" x14ac:dyDescent="0.3">
      <c r="A83" s="59" t="s">
        <v>81</v>
      </c>
      <c r="B83" s="42">
        <f>B52+B55+B58+B61+B64+B74+B77+B80</f>
        <v>409.5</v>
      </c>
      <c r="C83" s="42">
        <f>C52+C55+C58+C61+C64+C74+C77+C80-0.1</f>
        <v>4875.8983999999991</v>
      </c>
      <c r="D83" s="42">
        <f t="shared" ref="D83:N83" si="92">D52+D55+D58+D61+D64+D74+D77+D80</f>
        <v>3740.4</v>
      </c>
      <c r="E83" s="42">
        <f>E52+E55+E58+E61+E64+E74+E77+E80</f>
        <v>75380.774741599991</v>
      </c>
      <c r="F83" s="42">
        <f t="shared" si="92"/>
        <v>299.09999999999997</v>
      </c>
      <c r="G83" s="42">
        <f>G52+G55+G58+G61+G64+G74+G77+G80-0.1</f>
        <v>5085.4706490399994</v>
      </c>
      <c r="H83" s="42">
        <f t="shared" ref="H83:J84" si="93">H52+H55+H58+H61+H64+H74+H77+H80</f>
        <v>5368</v>
      </c>
      <c r="I83" s="42">
        <f>I52+I55+I58+I61+I64+I74+I77+I80</f>
        <v>619.50398055999995</v>
      </c>
      <c r="J83" s="42">
        <f t="shared" si="93"/>
        <v>10184.200000000001</v>
      </c>
      <c r="K83" s="42">
        <f>K52+K55+K58+K61+K64+K74+K77+K80-0.1</f>
        <v>1201.2774344400002</v>
      </c>
      <c r="L83" s="42">
        <f t="shared" si="92"/>
        <v>15552.2</v>
      </c>
      <c r="M83" s="42">
        <f>M52+M55+M58+M61+M64+M74+M77+M80</f>
        <v>2151.76841444</v>
      </c>
      <c r="N83" s="42">
        <f t="shared" si="92"/>
        <v>523.1</v>
      </c>
      <c r="O83" s="42">
        <f>O52+O55+O58+O61+O64+O74+O77+O80</f>
        <v>315.63853999999998</v>
      </c>
      <c r="P83" s="42">
        <f>P52+P55+P58+P61+P64+P74+P77+P80-0.1</f>
        <v>89630.432160079974</v>
      </c>
      <c r="Q83" s="40"/>
      <c r="R83" s="40"/>
    </row>
    <row r="84" spans="1:18" ht="19.5" thickBot="1" x14ac:dyDescent="0.35">
      <c r="A84" s="60" t="s">
        <v>82</v>
      </c>
      <c r="B84" s="52">
        <f>B53+B56+B59+B62+B65+B75+B78+B81</f>
        <v>140.04999999999998</v>
      </c>
      <c r="C84" s="52">
        <f>C53+C56+C59+C62+C65+C75+C78+C81-0.1</f>
        <v>1749.3159246400003</v>
      </c>
      <c r="D84" s="52">
        <f t="shared" ref="D84:N84" si="94">D53+D56+D59+D62+D65+D75+D78+D81</f>
        <v>1362.2</v>
      </c>
      <c r="E84" s="52">
        <f>E53+E56+E59+E62+E65+E75+E78+E81+0.2</f>
        <v>40321.148602619993</v>
      </c>
      <c r="F84" s="52">
        <f t="shared" si="94"/>
        <v>101.69999999999999</v>
      </c>
      <c r="G84" s="52">
        <f>G53+G56+G59+G62+G65+G75+G78+G81+0.1</f>
        <v>2658.9907932599995</v>
      </c>
      <c r="H84" s="52">
        <f t="shared" si="93"/>
        <v>1789.4</v>
      </c>
      <c r="I84" s="52">
        <f>I53+I56+I59+I62+I65+I75+I78+I81</f>
        <v>271.62760638000003</v>
      </c>
      <c r="J84" s="52">
        <f t="shared" si="93"/>
        <v>3418</v>
      </c>
      <c r="K84" s="52">
        <f>K53+K56+K59+K62+K65+K75+K78+K81-0.1</f>
        <v>530.76578945999995</v>
      </c>
      <c r="L84" s="52">
        <f t="shared" si="94"/>
        <v>5207.3999999999996</v>
      </c>
      <c r="M84" s="52">
        <f>M53+M56+M59+M62+M65+M75+M78+M81</f>
        <v>990.85563107999997</v>
      </c>
      <c r="N84" s="52">
        <f t="shared" si="94"/>
        <v>171.5</v>
      </c>
      <c r="O84" s="52">
        <f>O53+O56+O59+O62+O65+O75+O78+O81-0.1</f>
        <v>103.38310000000001</v>
      </c>
      <c r="P84" s="52">
        <f>P53+P56+P59+P62+P65+P75+P78+P81-0.1</f>
        <v>46626.087447439997</v>
      </c>
      <c r="Q84" s="40"/>
      <c r="R84" s="40"/>
    </row>
    <row r="85" spans="1:18" ht="19.5" thickBot="1" x14ac:dyDescent="0.35">
      <c r="A85" s="82" t="s">
        <v>12</v>
      </c>
      <c r="B85" s="83"/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96"/>
      <c r="Q85" s="40"/>
      <c r="R85" s="40"/>
    </row>
    <row r="86" spans="1:18" ht="112.5" x14ac:dyDescent="0.3">
      <c r="A86" s="61" t="s">
        <v>75</v>
      </c>
      <c r="B86" s="57">
        <f>B87+B88</f>
        <v>37</v>
      </c>
      <c r="C86" s="57">
        <f t="shared" ref="C86:O86" si="95">C87+C88</f>
        <v>446.40092799999996</v>
      </c>
      <c r="D86" s="57">
        <f t="shared" si="95"/>
        <v>315.10000000000002</v>
      </c>
      <c r="E86" s="57">
        <f>E87+E88+0.1</f>
        <v>4490.8317696000004</v>
      </c>
      <c r="F86" s="57">
        <f t="shared" si="95"/>
        <v>20.299999999999997</v>
      </c>
      <c r="G86" s="57">
        <f t="shared" si="95"/>
        <v>294.03769</v>
      </c>
      <c r="H86" s="57">
        <f t="shared" si="95"/>
        <v>85.9</v>
      </c>
      <c r="I86" s="57">
        <f t="shared" si="95"/>
        <v>9.2487773000000004</v>
      </c>
      <c r="J86" s="57">
        <f t="shared" si="95"/>
        <v>302.8</v>
      </c>
      <c r="K86" s="57">
        <f t="shared" si="95"/>
        <v>32.818917439999993</v>
      </c>
      <c r="L86" s="57">
        <f t="shared" si="95"/>
        <v>388.7</v>
      </c>
      <c r="M86" s="57">
        <f>M87+M88-0.1</f>
        <v>72.462873299999998</v>
      </c>
      <c r="N86" s="57">
        <f t="shared" si="95"/>
        <v>42.5</v>
      </c>
      <c r="O86" s="57">
        <f t="shared" si="95"/>
        <v>25.644499999999997</v>
      </c>
      <c r="P86" s="57">
        <f>C86+E86+G86+I86+K86+M86+O86-0.1</f>
        <v>5371.3454556400011</v>
      </c>
      <c r="Q86" s="40"/>
      <c r="R86" s="40"/>
    </row>
    <row r="87" spans="1:18" x14ac:dyDescent="0.3">
      <c r="A87" s="59" t="s">
        <v>81</v>
      </c>
      <c r="B87" s="42">
        <v>27</v>
      </c>
      <c r="C87" s="42">
        <f>B87*ТАРИФЫ!$F$16</f>
        <v>321.49439999999998</v>
      </c>
      <c r="D87" s="42">
        <v>216.7</v>
      </c>
      <c r="E87" s="42">
        <f>D87*ТАРИФЫ!$F$4/1000</f>
        <v>2667.8509088000001</v>
      </c>
      <c r="F87" s="42">
        <v>13.2</v>
      </c>
      <c r="G87" s="42">
        <f>F87*ТАРИФЫ!$F$4/1000</f>
        <v>162.50868480000003</v>
      </c>
      <c r="H87" s="42">
        <v>66.900000000000006</v>
      </c>
      <c r="I87" s="42">
        <f>H87*ТАРИФЫ!$F$8/1000</f>
        <v>6.8355075000000003</v>
      </c>
      <c r="J87" s="42">
        <v>227.1</v>
      </c>
      <c r="K87" s="42">
        <f>J87*ТАРИФЫ!$F$8/1000</f>
        <v>23.203942499999997</v>
      </c>
      <c r="L87" s="42">
        <f t="shared" si="47"/>
        <v>294</v>
      </c>
      <c r="M87" s="42">
        <f>L87*ТАРИФЫ!$F$12/1000</f>
        <v>50.247481199999996</v>
      </c>
      <c r="N87" s="42">
        <v>31.9</v>
      </c>
      <c r="O87" s="42">
        <f>N87*ТАРИФЫ!$E$20/1000</f>
        <v>19.248459999999998</v>
      </c>
      <c r="P87" s="42">
        <f>C87+E87+G87+I87+K87+M87+O87-0.1</f>
        <v>3251.2893847999999</v>
      </c>
      <c r="Q87" s="40"/>
      <c r="R87" s="40"/>
    </row>
    <row r="88" spans="1:18" x14ac:dyDescent="0.3">
      <c r="A88" s="59" t="s">
        <v>82</v>
      </c>
      <c r="B88" s="42">
        <v>10</v>
      </c>
      <c r="C88" s="42">
        <f>B88*ТАРИФЫ!$G$16</f>
        <v>124.90652799999999</v>
      </c>
      <c r="D88" s="42">
        <v>98.4</v>
      </c>
      <c r="E88" s="42">
        <f>D88*ТАРИФЫ!$G$4/1000</f>
        <v>1822.8808608000002</v>
      </c>
      <c r="F88" s="42">
        <v>7.1</v>
      </c>
      <c r="G88" s="42">
        <f>F88*ТАРИФЫ!$G$4/1000</f>
        <v>131.52900519999997</v>
      </c>
      <c r="H88" s="42">
        <v>19</v>
      </c>
      <c r="I88" s="42">
        <f>H88*ТАРИФЫ!$G$8/1000</f>
        <v>2.4132698000000001</v>
      </c>
      <c r="J88" s="42">
        <v>75.7</v>
      </c>
      <c r="K88" s="42">
        <f>J88*ТАРИФЫ!$G$8/1000</f>
        <v>9.6149749399999997</v>
      </c>
      <c r="L88" s="42">
        <f t="shared" si="47"/>
        <v>94.7</v>
      </c>
      <c r="M88" s="42">
        <f>L88*ТАРИФЫ!$G$12/1000</f>
        <v>22.3153921</v>
      </c>
      <c r="N88" s="42">
        <v>10.6</v>
      </c>
      <c r="O88" s="42">
        <f>N88*ТАРИФЫ!$E$20/1000</f>
        <v>6.3960400000000002</v>
      </c>
      <c r="P88" s="42">
        <f>C88+E88+G88+I88+K88+M88+O88-0.1</f>
        <v>2119.9560708399999</v>
      </c>
      <c r="Q88" s="40"/>
      <c r="R88" s="40"/>
    </row>
    <row r="89" spans="1:18" ht="75" x14ac:dyDescent="0.3">
      <c r="A89" s="62" t="s">
        <v>38</v>
      </c>
      <c r="B89" s="42">
        <f>B90+B91</f>
        <v>26.5</v>
      </c>
      <c r="C89" s="42">
        <f t="shared" ref="C89" si="96">C90+C91</f>
        <v>319.62496959999999</v>
      </c>
      <c r="D89" s="42">
        <f t="shared" ref="D89" si="97">D90+D91</f>
        <v>179.8</v>
      </c>
      <c r="E89" s="42">
        <f>E90+E91+0.1</f>
        <v>5524.2354645800006</v>
      </c>
      <c r="F89" s="42">
        <f t="shared" ref="F89" si="98">F90+F91</f>
        <v>0</v>
      </c>
      <c r="G89" s="42">
        <f t="shared" ref="G89" si="99">G90+G91</f>
        <v>0</v>
      </c>
      <c r="H89" s="42">
        <f t="shared" ref="H89" si="100">H90+H91</f>
        <v>0</v>
      </c>
      <c r="I89" s="42">
        <f t="shared" ref="I89" si="101">I90+I91</f>
        <v>0</v>
      </c>
      <c r="J89" s="42">
        <f t="shared" ref="J89" si="102">J90+J91</f>
        <v>475.8</v>
      </c>
      <c r="K89" s="42">
        <f>K90+K91</f>
        <v>80.753963060000004</v>
      </c>
      <c r="L89" s="42">
        <f t="shared" ref="L89" si="103">L90+L91</f>
        <v>475.8</v>
      </c>
      <c r="M89" s="42">
        <f>M90+M91-0.1</f>
        <v>89.987030160000003</v>
      </c>
      <c r="N89" s="42">
        <f t="shared" ref="N89" si="104">N90+N91</f>
        <v>36.700000000000003</v>
      </c>
      <c r="O89" s="42">
        <f>O90+O91+0.1</f>
        <v>22.244779999999999</v>
      </c>
      <c r="P89" s="42">
        <f>C89+E89+G89+I89+K89+M89+O89</f>
        <v>6036.8462074000008</v>
      </c>
      <c r="Q89" s="40"/>
      <c r="R89" s="40"/>
    </row>
    <row r="90" spans="1:18" x14ac:dyDescent="0.3">
      <c r="A90" s="59" t="s">
        <v>81</v>
      </c>
      <c r="B90" s="42">
        <v>19.5</v>
      </c>
      <c r="C90" s="42">
        <f>B90*ТАРИФЫ!$F$16</f>
        <v>232.19039999999998</v>
      </c>
      <c r="D90" s="42">
        <v>122.3</v>
      </c>
      <c r="E90" s="42">
        <f>D90*ТАРИФЫ!$F$7/1000</f>
        <v>3539.0812725800001</v>
      </c>
      <c r="F90" s="42">
        <v>0</v>
      </c>
      <c r="G90" s="42">
        <f>F90*ТАРИФЫ!$F$7/1000</f>
        <v>0</v>
      </c>
      <c r="H90" s="42">
        <v>0</v>
      </c>
      <c r="I90" s="42">
        <f>H90*ТАРИФЫ!$F$11/1000</f>
        <v>0</v>
      </c>
      <c r="J90" s="42">
        <v>367.1</v>
      </c>
      <c r="K90" s="42">
        <f>J90*ТАРИФЫ!$F$11/1000</f>
        <v>56.10367274</v>
      </c>
      <c r="L90" s="42">
        <f t="shared" si="47"/>
        <v>367.1</v>
      </c>
      <c r="M90" s="42">
        <f>L90*ТАРИФЫ!$F$15/1000</f>
        <v>62.548406919999998</v>
      </c>
      <c r="N90" s="42">
        <v>27.5</v>
      </c>
      <c r="O90" s="42">
        <f>N90*ТАРИФЫ!$E$20/1000</f>
        <v>16.593499999999999</v>
      </c>
      <c r="P90" s="42">
        <f>C90+E90+G90+I90+K90+M90+O90</f>
        <v>3906.5172522400003</v>
      </c>
      <c r="Q90" s="40"/>
      <c r="R90" s="40"/>
    </row>
    <row r="91" spans="1:18" ht="19.5" thickBot="1" x14ac:dyDescent="0.35">
      <c r="A91" s="60" t="s">
        <v>82</v>
      </c>
      <c r="B91" s="52">
        <v>7</v>
      </c>
      <c r="C91" s="52">
        <f>B91*ТАРИФЫ!$G$16</f>
        <v>87.434569600000003</v>
      </c>
      <c r="D91" s="52">
        <v>57.5</v>
      </c>
      <c r="E91" s="52">
        <f>D91*ТАРИФЫ!$G$7/1000</f>
        <v>1985.0541919999998</v>
      </c>
      <c r="F91" s="52">
        <v>0</v>
      </c>
      <c r="G91" s="52">
        <f>F91*ТАРИФЫ!$G$7/1000</f>
        <v>0</v>
      </c>
      <c r="H91" s="52">
        <v>0</v>
      </c>
      <c r="I91" s="52">
        <f>H91*ТАРИФЫ!$G$11/1000</f>
        <v>0</v>
      </c>
      <c r="J91" s="52">
        <v>108.7</v>
      </c>
      <c r="K91" s="52">
        <f>J91*ТАРИФЫ!$G$11/1000</f>
        <v>24.65029032</v>
      </c>
      <c r="L91" s="52">
        <f t="shared" si="47"/>
        <v>108.7</v>
      </c>
      <c r="M91" s="52">
        <f>L91*ТАРИФЫ!$G$15/1000</f>
        <v>27.538623239999996</v>
      </c>
      <c r="N91" s="52">
        <v>9.1999999999999993</v>
      </c>
      <c r="O91" s="52">
        <f>N91*ТАРИФЫ!$E$20/1000</f>
        <v>5.5512799999999993</v>
      </c>
      <c r="P91" s="52">
        <f>C91+E91+G91+I91+K91+M91+O91+0.1</f>
        <v>2130.3289551599996</v>
      </c>
      <c r="Q91" s="40"/>
      <c r="R91" s="40"/>
    </row>
    <row r="92" spans="1:18" ht="93.75" x14ac:dyDescent="0.3">
      <c r="A92" s="37" t="s">
        <v>39</v>
      </c>
      <c r="B92" s="38">
        <f t="shared" ref="B92:P92" si="105">B93+B94</f>
        <v>13.5</v>
      </c>
      <c r="C92" s="38">
        <f>C93+C94+0.1</f>
        <v>162.84763007999999</v>
      </c>
      <c r="D92" s="38">
        <f t="shared" si="105"/>
        <v>190.79999999999998</v>
      </c>
      <c r="E92" s="38">
        <f t="shared" si="105"/>
        <v>4183.2766398600006</v>
      </c>
      <c r="F92" s="38">
        <f t="shared" si="105"/>
        <v>3.3</v>
      </c>
      <c r="G92" s="38">
        <f t="shared" si="105"/>
        <v>92.522710140000001</v>
      </c>
      <c r="H92" s="38">
        <f t="shared" si="105"/>
        <v>54.1</v>
      </c>
      <c r="I92" s="38">
        <f>I93+I94+0.1</f>
        <v>8.5275872800000005</v>
      </c>
      <c r="J92" s="38">
        <f t="shared" si="105"/>
        <v>107.9</v>
      </c>
      <c r="K92" s="38">
        <f t="shared" si="105"/>
        <v>16.857526199999999</v>
      </c>
      <c r="L92" s="38">
        <f t="shared" si="105"/>
        <v>162</v>
      </c>
      <c r="M92" s="38">
        <f t="shared" si="105"/>
        <v>30.374253899999999</v>
      </c>
      <c r="N92" s="38">
        <f t="shared" si="105"/>
        <v>10.1</v>
      </c>
      <c r="O92" s="38">
        <f t="shared" si="105"/>
        <v>5.9943400000000002</v>
      </c>
      <c r="P92" s="38">
        <f t="shared" si="105"/>
        <v>4500.40068746</v>
      </c>
      <c r="Q92" s="40"/>
      <c r="R92" s="40"/>
    </row>
    <row r="93" spans="1:18" x14ac:dyDescent="0.3">
      <c r="A93" s="47" t="s">
        <v>81</v>
      </c>
      <c r="B93" s="42">
        <f>B97+B100+B103+B106</f>
        <v>9.9</v>
      </c>
      <c r="C93" s="42">
        <f>C97+C100+C103+C106</f>
        <v>117.88128</v>
      </c>
      <c r="D93" s="42">
        <f t="shared" ref="D93:N93" si="106">D97+D100+D103+D106</f>
        <v>143.1</v>
      </c>
      <c r="E93" s="42">
        <f>E97+E100+E103+E106-0.1</f>
        <v>3192.9630852800005</v>
      </c>
      <c r="F93" s="42">
        <f t="shared" si="106"/>
        <v>2.4</v>
      </c>
      <c r="G93" s="42">
        <f>G97+G100+G103+G106</f>
        <v>59.426058480000002</v>
      </c>
      <c r="H93" s="42">
        <f t="shared" si="106"/>
        <v>40.5</v>
      </c>
      <c r="I93" s="42">
        <f>I97+I100+I103+I106</f>
        <v>5.6653947800000006</v>
      </c>
      <c r="J93" s="42">
        <f t="shared" si="106"/>
        <v>80.900000000000006</v>
      </c>
      <c r="K93" s="42">
        <f>K97+K100+K103+K106</f>
        <v>11.362419019999999</v>
      </c>
      <c r="L93" s="42">
        <f t="shared" si="106"/>
        <v>121.39999999999999</v>
      </c>
      <c r="M93" s="42">
        <f>M97+M100+M103+M106</f>
        <v>20.415937759999998</v>
      </c>
      <c r="N93" s="42">
        <f t="shared" si="106"/>
        <v>7.3</v>
      </c>
      <c r="O93" s="42">
        <f>O97+O100+O103+O106-0.1</f>
        <v>4.3048200000000003</v>
      </c>
      <c r="P93" s="42">
        <f>P97+P100+P103+P106+0.1</f>
        <v>3412.1189953200001</v>
      </c>
      <c r="Q93" s="40"/>
      <c r="R93" s="40"/>
    </row>
    <row r="94" spans="1:18" x14ac:dyDescent="0.3">
      <c r="A94" s="47" t="s">
        <v>82</v>
      </c>
      <c r="B94" s="42">
        <f>B98+B101+B104+B107</f>
        <v>3.6</v>
      </c>
      <c r="C94" s="42">
        <f>C98+C101+C104+C107-0.1</f>
        <v>44.866350079999997</v>
      </c>
      <c r="D94" s="42">
        <f t="shared" ref="D94:P94" si="107">D98+D101+D104+D107</f>
        <v>47.699999999999996</v>
      </c>
      <c r="E94" s="42">
        <f>E98+E101+E104+E107-0.1</f>
        <v>990.31355457999985</v>
      </c>
      <c r="F94" s="42">
        <f t="shared" si="107"/>
        <v>0.9</v>
      </c>
      <c r="G94" s="42">
        <f>G98+G101+G104+G107</f>
        <v>33.096651659999999</v>
      </c>
      <c r="H94" s="42">
        <f t="shared" si="107"/>
        <v>13.6</v>
      </c>
      <c r="I94" s="42">
        <f>I98+I101+I104+I107</f>
        <v>2.7621924999999998</v>
      </c>
      <c r="J94" s="42">
        <f t="shared" si="107"/>
        <v>27.000000000000004</v>
      </c>
      <c r="K94" s="42">
        <f>K98+K101+K104+K107</f>
        <v>5.4951071799999998</v>
      </c>
      <c r="L94" s="42">
        <f t="shared" si="107"/>
        <v>40.6</v>
      </c>
      <c r="M94" s="42">
        <f>M98+M101+M104+M107</f>
        <v>9.9583161399999991</v>
      </c>
      <c r="N94" s="42">
        <f t="shared" si="107"/>
        <v>2.8</v>
      </c>
      <c r="O94" s="42">
        <f>O98+O101+O104+O107</f>
        <v>1.6895199999999999</v>
      </c>
      <c r="P94" s="42">
        <f t="shared" si="107"/>
        <v>1088.2816921399999</v>
      </c>
      <c r="Q94" s="40"/>
      <c r="R94" s="40"/>
    </row>
    <row r="95" spans="1:18" x14ac:dyDescent="0.3">
      <c r="A95" s="85" t="s">
        <v>11</v>
      </c>
      <c r="B95" s="94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  <c r="P95" s="95"/>
      <c r="Q95" s="40"/>
      <c r="R95" s="40"/>
    </row>
    <row r="96" spans="1:18" ht="37.5" x14ac:dyDescent="0.3">
      <c r="A96" s="63" t="s">
        <v>40</v>
      </c>
      <c r="B96" s="42">
        <f>B97+B98</f>
        <v>10</v>
      </c>
      <c r="C96" s="42">
        <f t="shared" ref="C96:P96" si="108">C97+C98</f>
        <v>120.58897727999999</v>
      </c>
      <c r="D96" s="42">
        <f t="shared" si="108"/>
        <v>121.2</v>
      </c>
      <c r="E96" s="42">
        <f>E97+E98-0.1</f>
        <v>2056.8730700000001</v>
      </c>
      <c r="F96" s="42">
        <f t="shared" si="108"/>
        <v>0.8</v>
      </c>
      <c r="G96" s="42">
        <f>G97+G98+0.1</f>
        <v>15.7421202</v>
      </c>
      <c r="H96" s="42">
        <f t="shared" si="108"/>
        <v>15.100000000000001</v>
      </c>
      <c r="I96" s="42">
        <f>I97+I98+0.1</f>
        <v>1.7372314600000001</v>
      </c>
      <c r="J96" s="42">
        <f t="shared" si="108"/>
        <v>27.1</v>
      </c>
      <c r="K96" s="42">
        <f>K97+K98+0.1</f>
        <v>3.0378490600000005</v>
      </c>
      <c r="L96" s="42">
        <f t="shared" si="108"/>
        <v>42.2</v>
      </c>
      <c r="M96" s="42">
        <f t="shared" si="108"/>
        <v>7.8985654799999994</v>
      </c>
      <c r="N96" s="42">
        <f t="shared" si="108"/>
        <v>4.7</v>
      </c>
      <c r="O96" s="42">
        <f t="shared" si="108"/>
        <v>2.8359799999999997</v>
      </c>
      <c r="P96" s="42">
        <f t="shared" si="108"/>
        <v>2208.6137934800004</v>
      </c>
      <c r="Q96" s="40"/>
      <c r="R96" s="40"/>
    </row>
    <row r="97" spans="1:18" x14ac:dyDescent="0.3">
      <c r="A97" s="47" t="s">
        <v>81</v>
      </c>
      <c r="B97" s="42">
        <v>7.4</v>
      </c>
      <c r="C97" s="42">
        <f>B97*ТАРИФЫ!$F$16</f>
        <v>88.113280000000003</v>
      </c>
      <c r="D97" s="42">
        <v>90.9</v>
      </c>
      <c r="E97" s="42">
        <f>D97*ТАРИФЫ!$G$4/1000</f>
        <v>1683.9417708000001</v>
      </c>
      <c r="F97" s="42">
        <v>0.6</v>
      </c>
      <c r="G97" s="42">
        <f>F97*ТАРИФЫ!$F$4/1000</f>
        <v>7.3867584000000006</v>
      </c>
      <c r="H97" s="42">
        <v>11.3</v>
      </c>
      <c r="I97" s="42">
        <f>H97*ТАРИФЫ!$F$8/1000</f>
        <v>1.1545775</v>
      </c>
      <c r="J97" s="42">
        <v>20.3</v>
      </c>
      <c r="K97" s="42">
        <f>J97*ТАРИФЫ!$F$8/1000</f>
        <v>2.0741525000000003</v>
      </c>
      <c r="L97" s="42">
        <f>H97+J97</f>
        <v>31.6</v>
      </c>
      <c r="M97" s="42">
        <f>L97*ТАРИФЫ!$F$12/1000</f>
        <v>5.4007496799999997</v>
      </c>
      <c r="N97" s="42">
        <v>3.5</v>
      </c>
      <c r="O97" s="42">
        <f>N97*ТАРИФЫ!$E$20/1000</f>
        <v>2.1118999999999999</v>
      </c>
      <c r="P97" s="43">
        <f>C97+E97+G97+I97+K97+M97+O97</f>
        <v>1790.1831888800002</v>
      </c>
      <c r="Q97" s="40"/>
      <c r="R97" s="40"/>
    </row>
    <row r="98" spans="1:18" x14ac:dyDescent="0.3">
      <c r="A98" s="47" t="s">
        <v>82</v>
      </c>
      <c r="B98" s="42">
        <v>2.6</v>
      </c>
      <c r="C98" s="42">
        <f>B98*ТАРИФЫ!$G$16</f>
        <v>32.475697279999999</v>
      </c>
      <c r="D98" s="42">
        <v>30.3</v>
      </c>
      <c r="E98" s="42">
        <f>D98*ТАРИФЫ!$F$4/1000</f>
        <v>373.03129920000009</v>
      </c>
      <c r="F98" s="42">
        <v>0.2</v>
      </c>
      <c r="G98" s="42">
        <f>F98*ТАРИФЫ!$G$6/1000</f>
        <v>8.2553617999999993</v>
      </c>
      <c r="H98" s="42">
        <v>3.8</v>
      </c>
      <c r="I98" s="42">
        <f>H98*ТАРИФЫ!$G$8/1000</f>
        <v>0.48265395999999999</v>
      </c>
      <c r="J98" s="42">
        <v>6.8</v>
      </c>
      <c r="K98" s="42">
        <f>J98*ТАРИФЫ!$G$8/1000</f>
        <v>0.86369655999999995</v>
      </c>
      <c r="L98" s="42">
        <f>H98+J98</f>
        <v>10.6</v>
      </c>
      <c r="M98" s="42">
        <f>L98*ТАРИФЫ!$G$12/1000</f>
        <v>2.4978157999999997</v>
      </c>
      <c r="N98" s="42">
        <v>1.2</v>
      </c>
      <c r="O98" s="42">
        <f>N98*ТАРИФЫ!$E$20/1000</f>
        <v>0.72407999999999995</v>
      </c>
      <c r="P98" s="43">
        <f>C98+E98+G98+I98+K98+M98+O98+0.1</f>
        <v>418.43060460000015</v>
      </c>
      <c r="Q98" s="40"/>
      <c r="R98" s="40"/>
    </row>
    <row r="99" spans="1:18" ht="37.5" x14ac:dyDescent="0.3">
      <c r="A99" s="63" t="s">
        <v>41</v>
      </c>
      <c r="B99" s="42">
        <f>B100+B101</f>
        <v>2.2000000000000002</v>
      </c>
      <c r="C99" s="42">
        <f>C100+C101+0.1</f>
        <v>26.645911680000001</v>
      </c>
      <c r="D99" s="42">
        <f t="shared" ref="D99:P99" si="109">D100+D101</f>
        <v>46.8</v>
      </c>
      <c r="E99" s="42">
        <f t="shared" si="109"/>
        <v>1419.6288061800001</v>
      </c>
      <c r="F99" s="42">
        <f t="shared" si="109"/>
        <v>2.2999999999999998</v>
      </c>
      <c r="G99" s="42">
        <f t="shared" si="109"/>
        <v>69.907706779999998</v>
      </c>
      <c r="H99" s="42">
        <f t="shared" si="109"/>
        <v>36.799999999999997</v>
      </c>
      <c r="I99" s="42">
        <f t="shared" si="109"/>
        <v>6.3044085600000006</v>
      </c>
      <c r="J99" s="42">
        <f t="shared" si="109"/>
        <v>77.900000000000006</v>
      </c>
      <c r="K99" s="42">
        <f t="shared" si="109"/>
        <v>13.347322159999999</v>
      </c>
      <c r="L99" s="42">
        <f t="shared" si="109"/>
        <v>114.7</v>
      </c>
      <c r="M99" s="42">
        <f>M100+M101+0.1</f>
        <v>22.024134439999997</v>
      </c>
      <c r="N99" s="42">
        <f t="shared" si="109"/>
        <v>1.7</v>
      </c>
      <c r="O99" s="42">
        <f t="shared" si="109"/>
        <v>1.0257799999999999</v>
      </c>
      <c r="P99" s="42">
        <f t="shared" si="109"/>
        <v>1558.6840698000001</v>
      </c>
      <c r="Q99" s="40"/>
      <c r="R99" s="40"/>
    </row>
    <row r="100" spans="1:18" x14ac:dyDescent="0.3">
      <c r="A100" s="47" t="s">
        <v>81</v>
      </c>
      <c r="B100" s="42">
        <v>1.6</v>
      </c>
      <c r="C100" s="42">
        <f>B100*ТАРИФЫ!$F$16</f>
        <v>19.05152</v>
      </c>
      <c r="D100" s="42">
        <v>35.1</v>
      </c>
      <c r="E100" s="42">
        <f>D100*ТАРИФЫ!$F$7/1000</f>
        <v>1015.7134314600002</v>
      </c>
      <c r="F100" s="42">
        <v>1.7</v>
      </c>
      <c r="G100" s="42">
        <f>F100*ТАРИФЫ!$F$7/1000</f>
        <v>49.194097820000003</v>
      </c>
      <c r="H100" s="42">
        <v>27.6</v>
      </c>
      <c r="I100" s="42">
        <f>H100*ТАРИФЫ!$F$11/1000</f>
        <v>4.2180914400000002</v>
      </c>
      <c r="J100" s="42">
        <v>58.4</v>
      </c>
      <c r="K100" s="42">
        <f>J100*ТАРИФЫ!$F$11/1000</f>
        <v>8.9252369599999994</v>
      </c>
      <c r="L100" s="42">
        <f t="shared" si="47"/>
        <v>86</v>
      </c>
      <c r="M100" s="42">
        <f>L100*ТАРИФЫ!$F$15/1000</f>
        <v>14.653127199999998</v>
      </c>
      <c r="N100" s="42">
        <v>1.2</v>
      </c>
      <c r="O100" s="42">
        <f>N100*ТАРИФЫ!$E$20/1000</f>
        <v>0.72407999999999995</v>
      </c>
      <c r="P100" s="43">
        <f>C100+E100+G100+I100+K100+M100+O100</f>
        <v>1112.4795848800002</v>
      </c>
      <c r="Q100" s="40"/>
      <c r="R100" s="40"/>
    </row>
    <row r="101" spans="1:18" x14ac:dyDescent="0.3">
      <c r="A101" s="47" t="s">
        <v>82</v>
      </c>
      <c r="B101" s="42">
        <v>0.6</v>
      </c>
      <c r="C101" s="42">
        <f>B101*ТАРИФЫ!$G$16</f>
        <v>7.4943916799999997</v>
      </c>
      <c r="D101" s="42">
        <v>11.7</v>
      </c>
      <c r="E101" s="42">
        <f>D101*ТАРИФЫ!$G$7/1000</f>
        <v>403.91537471999993</v>
      </c>
      <c r="F101" s="42">
        <v>0.6</v>
      </c>
      <c r="G101" s="42">
        <f>F101*ТАРИФЫ!$G$7/1000</f>
        <v>20.713608959999998</v>
      </c>
      <c r="H101" s="42">
        <v>9.1999999999999993</v>
      </c>
      <c r="I101" s="42">
        <f>H101*ТАРИФЫ!$G$11/1000</f>
        <v>2.0863171199999999</v>
      </c>
      <c r="J101" s="42">
        <v>19.5</v>
      </c>
      <c r="K101" s="42">
        <f>J101*ТАРИФЫ!$G$11/1000</f>
        <v>4.4220851999999997</v>
      </c>
      <c r="L101" s="42">
        <f t="shared" si="47"/>
        <v>28.7</v>
      </c>
      <c r="M101" s="42">
        <f>L101*ТАРИФЫ!$G$15/1000</f>
        <v>7.2710072399999994</v>
      </c>
      <c r="N101" s="42">
        <v>0.5</v>
      </c>
      <c r="O101" s="42">
        <f>N101*ТАРИФЫ!$E$20/1000</f>
        <v>0.30169999999999997</v>
      </c>
      <c r="P101" s="43">
        <f>C101+E101+G101+I101+K101+M101+O101</f>
        <v>446.20448491999991</v>
      </c>
      <c r="Q101" s="40"/>
      <c r="R101" s="40"/>
    </row>
    <row r="102" spans="1:18" x14ac:dyDescent="0.3">
      <c r="A102" s="63" t="s">
        <v>42</v>
      </c>
      <c r="B102" s="42">
        <f>B103+B104</f>
        <v>1.1000000000000001</v>
      </c>
      <c r="C102" s="42">
        <f>C103+C104-0.1</f>
        <v>13.17295584</v>
      </c>
      <c r="D102" s="42">
        <f t="shared" ref="D102:O102" si="110">D103+D104</f>
        <v>13.6</v>
      </c>
      <c r="E102" s="42">
        <f t="shared" si="110"/>
        <v>415.61914704000003</v>
      </c>
      <c r="F102" s="42">
        <f t="shared" si="110"/>
        <v>0</v>
      </c>
      <c r="G102" s="42">
        <f t="shared" si="110"/>
        <v>0</v>
      </c>
      <c r="H102" s="42">
        <f t="shared" si="110"/>
        <v>1.8</v>
      </c>
      <c r="I102" s="42">
        <f>I103+I104+0.1</f>
        <v>0.34259333999999997</v>
      </c>
      <c r="J102" s="42">
        <f t="shared" si="110"/>
        <v>2.2999999999999998</v>
      </c>
      <c r="K102" s="42">
        <f t="shared" si="110"/>
        <v>0.30856605999999998</v>
      </c>
      <c r="L102" s="42">
        <f t="shared" si="110"/>
        <v>4.0999999999999996</v>
      </c>
      <c r="M102" s="42">
        <f t="shared" si="110"/>
        <v>0.18072713999999998</v>
      </c>
      <c r="N102" s="42">
        <f t="shared" si="110"/>
        <v>2</v>
      </c>
      <c r="O102" s="42">
        <f t="shared" si="110"/>
        <v>1.2067999999999999</v>
      </c>
      <c r="P102" s="43">
        <f>C102+E102+G102+I102+K102+M102+O102</f>
        <v>430.83078941999997</v>
      </c>
      <c r="Q102" s="40"/>
      <c r="R102" s="40"/>
    </row>
    <row r="103" spans="1:18" x14ac:dyDescent="0.3">
      <c r="A103" s="47" t="s">
        <v>81</v>
      </c>
      <c r="B103" s="42">
        <v>0.8</v>
      </c>
      <c r="C103" s="42">
        <f>B103*ТАРИФЫ!$F$16</f>
        <v>9.52576</v>
      </c>
      <c r="D103" s="42">
        <v>10.199999999999999</v>
      </c>
      <c r="E103" s="42">
        <f>D103*ТАРИФЫ!$F$5/1000</f>
        <v>297.08892708000002</v>
      </c>
      <c r="F103" s="42">
        <v>0</v>
      </c>
      <c r="G103" s="42">
        <f>F103*ТАРИФЫ!$F$5/1000</f>
        <v>0</v>
      </c>
      <c r="H103" s="42">
        <v>1.3</v>
      </c>
      <c r="I103" s="42">
        <f>H103*ТАРИФЫ!$F$9/1000</f>
        <v>0.16207334000000001</v>
      </c>
      <c r="J103" s="42">
        <v>1.7</v>
      </c>
      <c r="K103" s="42">
        <f>J103*ТАРИФЫ!$F$9/1000</f>
        <v>0.21194205999999996</v>
      </c>
      <c r="L103" s="42">
        <f t="shared" si="47"/>
        <v>3</v>
      </c>
      <c r="M103" s="42">
        <f>L103*ТАРИФЫ!$F$13/1000</f>
        <v>0.12802679999999997</v>
      </c>
      <c r="N103" s="42">
        <v>1.4</v>
      </c>
      <c r="O103" s="42">
        <f>N103*ТАРИФЫ!$E$20/1000</f>
        <v>0.84475999999999984</v>
      </c>
      <c r="P103" s="43">
        <f>C103+E103+G103+I103+K103+M103+O103-0.1</f>
        <v>307.86148928</v>
      </c>
      <c r="Q103" s="40"/>
      <c r="R103" s="40"/>
    </row>
    <row r="104" spans="1:18" x14ac:dyDescent="0.3">
      <c r="A104" s="47" t="s">
        <v>82</v>
      </c>
      <c r="B104" s="42">
        <v>0.3</v>
      </c>
      <c r="C104" s="42">
        <f>B104*ТАРИФЫ!$G$16</f>
        <v>3.7471958399999998</v>
      </c>
      <c r="D104" s="42">
        <v>3.4</v>
      </c>
      <c r="E104" s="42">
        <f>D104*ТАРИФЫ!$G$5/1000</f>
        <v>118.53021996</v>
      </c>
      <c r="F104" s="42">
        <v>0</v>
      </c>
      <c r="G104" s="42">
        <f>F104*ТАРИФЫ!$G$5/1000</f>
        <v>0</v>
      </c>
      <c r="H104" s="42">
        <v>0.5</v>
      </c>
      <c r="I104" s="42">
        <f>H104*ТАРИФЫ!$G$9/1000</f>
        <v>8.0519999999999994E-2</v>
      </c>
      <c r="J104" s="42">
        <v>0.6</v>
      </c>
      <c r="K104" s="42">
        <f>J104*ТАРИФЫ!$G$9/1000</f>
        <v>9.6624000000000002E-2</v>
      </c>
      <c r="L104" s="42">
        <f t="shared" si="47"/>
        <v>1.1000000000000001</v>
      </c>
      <c r="M104" s="42">
        <f>L104*ТАРИФЫ!$G$13/1000</f>
        <v>5.2700340000000012E-2</v>
      </c>
      <c r="N104" s="42">
        <v>0.6</v>
      </c>
      <c r="O104" s="42">
        <f>N104*ТАРИФЫ!$E$20/1000</f>
        <v>0.36203999999999997</v>
      </c>
      <c r="P104" s="43">
        <f>C104+E104+G104+I104+K104+M104+O104</f>
        <v>122.86930014000001</v>
      </c>
      <c r="Q104" s="40"/>
      <c r="R104" s="40"/>
    </row>
    <row r="105" spans="1:18" x14ac:dyDescent="0.3">
      <c r="A105" s="63" t="s">
        <v>43</v>
      </c>
      <c r="B105" s="42">
        <f>B106+B107</f>
        <v>0.2</v>
      </c>
      <c r="C105" s="42">
        <f t="shared" ref="C105:P105" si="111">C106+C107</f>
        <v>2.4397852799999997</v>
      </c>
      <c r="D105" s="42">
        <f t="shared" si="111"/>
        <v>9.1999999999999993</v>
      </c>
      <c r="E105" s="42">
        <f>E106+E107-0.1</f>
        <v>291.15561663999995</v>
      </c>
      <c r="F105" s="42">
        <f t="shared" si="111"/>
        <v>0.2</v>
      </c>
      <c r="G105" s="42">
        <f>G106+G107-0.1</f>
        <v>6.8728831600000007</v>
      </c>
      <c r="H105" s="42">
        <f t="shared" si="111"/>
        <v>0.4</v>
      </c>
      <c r="I105" s="42">
        <f t="shared" si="111"/>
        <v>0.24335392</v>
      </c>
      <c r="J105" s="42">
        <f t="shared" si="111"/>
        <v>0.6</v>
      </c>
      <c r="K105" s="42">
        <f t="shared" si="111"/>
        <v>0.26378892000000004</v>
      </c>
      <c r="L105" s="42">
        <f t="shared" si="111"/>
        <v>1</v>
      </c>
      <c r="M105" s="42">
        <f>M106+M107-0.1</f>
        <v>0.27082684000000001</v>
      </c>
      <c r="N105" s="42">
        <f t="shared" si="111"/>
        <v>1.7</v>
      </c>
      <c r="O105" s="42">
        <f>O106+O107</f>
        <v>1.0257799999999999</v>
      </c>
      <c r="P105" s="42">
        <f t="shared" si="111"/>
        <v>302.27203475999994</v>
      </c>
      <c r="Q105" s="40"/>
      <c r="R105" s="40"/>
    </row>
    <row r="106" spans="1:18" x14ac:dyDescent="0.3">
      <c r="A106" s="47" t="s">
        <v>81</v>
      </c>
      <c r="B106" s="42">
        <v>0.1</v>
      </c>
      <c r="C106" s="42">
        <f>B106*ТАРИФЫ!$F$16</f>
        <v>1.19072</v>
      </c>
      <c r="D106" s="42">
        <v>6.9</v>
      </c>
      <c r="E106" s="42">
        <f>D106*ТАРИФЫ!$F$6/1000</f>
        <v>196.31895594000002</v>
      </c>
      <c r="F106" s="42">
        <v>0.1</v>
      </c>
      <c r="G106" s="42">
        <f>F106*ТАРИФЫ!$F$6/1000</f>
        <v>2.8452022600000002</v>
      </c>
      <c r="H106" s="42">
        <v>0.3</v>
      </c>
      <c r="I106" s="42">
        <f>H106*ТАРИФЫ!$F$10/1000+0.1</f>
        <v>0.1306525</v>
      </c>
      <c r="J106" s="42">
        <v>0.5</v>
      </c>
      <c r="K106" s="42">
        <f>J106*ТАРИФЫ!$F$10/1000+0.1</f>
        <v>0.15108750000000001</v>
      </c>
      <c r="L106" s="42">
        <f t="shared" si="47"/>
        <v>0.8</v>
      </c>
      <c r="M106" s="42">
        <f>L106*ТАРИФЫ!$F$14/1000+0.1</f>
        <v>0.23403408000000003</v>
      </c>
      <c r="N106" s="42">
        <v>1.2</v>
      </c>
      <c r="O106" s="42">
        <f>N106*ТАРИФЫ!$E$20/1000</f>
        <v>0.72407999999999995</v>
      </c>
      <c r="P106" s="43">
        <f>C106+E106+G106+I106+K106+M106+O106-0.1</f>
        <v>201.49473227999999</v>
      </c>
      <c r="Q106" s="40"/>
      <c r="R106" s="40"/>
    </row>
    <row r="107" spans="1:18" ht="19.5" thickBot="1" x14ac:dyDescent="0.35">
      <c r="A107" s="50" t="s">
        <v>82</v>
      </c>
      <c r="B107" s="45">
        <v>0.1</v>
      </c>
      <c r="C107" s="45">
        <f>B107*ТАРИФЫ!$G$16</f>
        <v>1.2490652799999999</v>
      </c>
      <c r="D107" s="45">
        <v>2.2999999999999998</v>
      </c>
      <c r="E107" s="45">
        <f>D107*ТАРИФЫ!$G$6/1000</f>
        <v>94.936660699999976</v>
      </c>
      <c r="F107" s="45">
        <v>0.1</v>
      </c>
      <c r="G107" s="45">
        <f>F107*ТАРИФЫ!$G$6/1000</f>
        <v>4.1276808999999997</v>
      </c>
      <c r="H107" s="45">
        <v>0.1</v>
      </c>
      <c r="I107" s="45">
        <f>H107*ТАРИФЫ!$G$10/1000+0.1</f>
        <v>0.11270142000000001</v>
      </c>
      <c r="J107" s="45">
        <v>0.1</v>
      </c>
      <c r="K107" s="45">
        <f>J107*ТАРИФЫ!$G$10/1000+0.1</f>
        <v>0.11270142000000001</v>
      </c>
      <c r="L107" s="45">
        <f t="shared" si="47"/>
        <v>0.2</v>
      </c>
      <c r="M107" s="45">
        <f>L107*ТАРИФЫ!$G$14/1000+0.1</f>
        <v>0.13679276000000001</v>
      </c>
      <c r="N107" s="45">
        <v>0.5</v>
      </c>
      <c r="O107" s="45">
        <f>N107*ТАРИФЫ!$E$20/1000</f>
        <v>0.30169999999999997</v>
      </c>
      <c r="P107" s="46">
        <f>C107+E107+G107+I107+K107+M107+O107-0.2</f>
        <v>100.77730247999996</v>
      </c>
      <c r="Q107" s="40"/>
      <c r="R107" s="40"/>
    </row>
    <row r="108" spans="1:18" x14ac:dyDescent="0.3">
      <c r="A108" s="58" t="s">
        <v>62</v>
      </c>
      <c r="B108" s="57">
        <f>B109+B110</f>
        <v>77</v>
      </c>
      <c r="C108" s="57">
        <f t="shared" ref="C108:P108" si="112">C109+C110</f>
        <v>928.77352768000014</v>
      </c>
      <c r="D108" s="57">
        <f t="shared" si="112"/>
        <v>685.7</v>
      </c>
      <c r="E108" s="57">
        <f t="shared" si="112"/>
        <v>14198.243874039999</v>
      </c>
      <c r="F108" s="57">
        <f t="shared" si="112"/>
        <v>23.6</v>
      </c>
      <c r="G108" s="57">
        <f>G109+G110-0.1</f>
        <v>386.46040013999993</v>
      </c>
      <c r="H108" s="57">
        <f t="shared" si="112"/>
        <v>140</v>
      </c>
      <c r="I108" s="57">
        <f t="shared" si="112"/>
        <v>17.676364580000001</v>
      </c>
      <c r="J108" s="57">
        <f t="shared" si="112"/>
        <v>886.5</v>
      </c>
      <c r="K108" s="57">
        <f>K109+K110+0.1</f>
        <v>130.63040669999998</v>
      </c>
      <c r="L108" s="57">
        <f t="shared" si="112"/>
        <v>1026.5</v>
      </c>
      <c r="M108" s="57">
        <f>M109+M110</f>
        <v>192.92415735999998</v>
      </c>
      <c r="N108" s="57">
        <f t="shared" si="112"/>
        <v>89.3</v>
      </c>
      <c r="O108" s="57">
        <f>O109+O110-0.1</f>
        <v>53.783619999999999</v>
      </c>
      <c r="P108" s="57">
        <f t="shared" si="112"/>
        <v>15908.492350500001</v>
      </c>
      <c r="Q108" s="40"/>
      <c r="R108" s="40"/>
    </row>
    <row r="109" spans="1:18" x14ac:dyDescent="0.3">
      <c r="A109" s="59" t="s">
        <v>81</v>
      </c>
      <c r="B109" s="42">
        <f>B87+B90+B93</f>
        <v>56.4</v>
      </c>
      <c r="C109" s="42">
        <f>C87+C90+C93</f>
        <v>671.56608000000006</v>
      </c>
      <c r="D109" s="42">
        <f t="shared" ref="D109:N109" si="113">D87+D90+D93</f>
        <v>482.1</v>
      </c>
      <c r="E109" s="42">
        <f>E87+E90+E93+0.1</f>
        <v>9399.9952666600002</v>
      </c>
      <c r="F109" s="42">
        <f t="shared" si="113"/>
        <v>15.6</v>
      </c>
      <c r="G109" s="42">
        <f>G87+G90+G93</f>
        <v>221.93474328000002</v>
      </c>
      <c r="H109" s="42">
        <f t="shared" si="113"/>
        <v>107.4</v>
      </c>
      <c r="I109" s="42">
        <f>I87+I90+I93</f>
        <v>12.500902280000002</v>
      </c>
      <c r="J109" s="42">
        <f t="shared" si="113"/>
        <v>675.1</v>
      </c>
      <c r="K109" s="42">
        <f>K87+K90+K93+0.1</f>
        <v>90.770034259999989</v>
      </c>
      <c r="L109" s="42">
        <f t="shared" si="113"/>
        <v>782.5</v>
      </c>
      <c r="M109" s="42">
        <f>M87+M90+M93-0.1</f>
        <v>133.11182588</v>
      </c>
      <c r="N109" s="42">
        <f t="shared" si="113"/>
        <v>66.7</v>
      </c>
      <c r="O109" s="42">
        <f>O87+O90+O93</f>
        <v>40.14678</v>
      </c>
      <c r="P109" s="42">
        <f>P87+P90+P93+0.1</f>
        <v>10570.025632360001</v>
      </c>
      <c r="Q109" s="40"/>
      <c r="R109" s="40"/>
    </row>
    <row r="110" spans="1:18" ht="19.5" thickBot="1" x14ac:dyDescent="0.35">
      <c r="A110" s="60" t="s">
        <v>82</v>
      </c>
      <c r="B110" s="52">
        <f>B88+B91+B94</f>
        <v>20.6</v>
      </c>
      <c r="C110" s="52">
        <f>C88+C91+C94</f>
        <v>257.20744768000003</v>
      </c>
      <c r="D110" s="52">
        <f t="shared" ref="D110:N110" si="114">D88+D91+D94</f>
        <v>203.6</v>
      </c>
      <c r="E110" s="52">
        <f>E88+E91+E94</f>
        <v>4798.2486073800001</v>
      </c>
      <c r="F110" s="52">
        <f t="shared" si="114"/>
        <v>8</v>
      </c>
      <c r="G110" s="52">
        <f>G88+G91+G94</f>
        <v>164.62565685999996</v>
      </c>
      <c r="H110" s="52">
        <f t="shared" si="114"/>
        <v>32.6</v>
      </c>
      <c r="I110" s="52">
        <f>I88+I91+I94</f>
        <v>5.1754622999999995</v>
      </c>
      <c r="J110" s="52">
        <f t="shared" si="114"/>
        <v>211.4</v>
      </c>
      <c r="K110" s="52">
        <f>K88+K91+K94</f>
        <v>39.760372439999998</v>
      </c>
      <c r="L110" s="52">
        <f t="shared" si="114"/>
        <v>244</v>
      </c>
      <c r="M110" s="52">
        <f>M88+M91+M94</f>
        <v>59.812331479999997</v>
      </c>
      <c r="N110" s="52">
        <f t="shared" si="114"/>
        <v>22.599999999999998</v>
      </c>
      <c r="O110" s="52">
        <f>O88+O91+O94+0.1</f>
        <v>13.736839999999999</v>
      </c>
      <c r="P110" s="52">
        <f>P88+P91+P94-0.1</f>
        <v>5338.4667181399991</v>
      </c>
      <c r="Q110" s="40"/>
      <c r="R110" s="40"/>
    </row>
    <row r="111" spans="1:18" ht="19.5" thickBot="1" x14ac:dyDescent="0.35">
      <c r="A111" s="82" t="s">
        <v>28</v>
      </c>
      <c r="B111" s="83"/>
      <c r="C111" s="83"/>
      <c r="D111" s="83"/>
      <c r="E111" s="83"/>
      <c r="F111" s="83"/>
      <c r="G111" s="83"/>
      <c r="H111" s="83"/>
      <c r="I111" s="83"/>
      <c r="J111" s="83"/>
      <c r="K111" s="83"/>
      <c r="L111" s="83"/>
      <c r="M111" s="83"/>
      <c r="N111" s="83"/>
      <c r="O111" s="83"/>
      <c r="P111" s="84"/>
      <c r="Q111" s="40"/>
      <c r="R111" s="40"/>
    </row>
    <row r="112" spans="1:18" x14ac:dyDescent="0.3">
      <c r="A112" s="58" t="s">
        <v>63</v>
      </c>
      <c r="B112" s="57">
        <f>B113+B114</f>
        <v>591.30000000000007</v>
      </c>
      <c r="C112" s="57">
        <f>C113+C114-0.1</f>
        <v>7126.8616838399994</v>
      </c>
      <c r="D112" s="57">
        <f t="shared" ref="D112:P112" si="115">D113+D114</f>
        <v>1058.7</v>
      </c>
      <c r="E112" s="57">
        <f t="shared" si="115"/>
        <v>15801.70034678</v>
      </c>
      <c r="F112" s="57">
        <f t="shared" si="115"/>
        <v>47.5</v>
      </c>
      <c r="G112" s="57">
        <f t="shared" si="115"/>
        <v>672.50170679999997</v>
      </c>
      <c r="H112" s="57">
        <f t="shared" si="115"/>
        <v>972.09999999999991</v>
      </c>
      <c r="I112" s="57">
        <f t="shared" si="115"/>
        <v>105.36024309999999</v>
      </c>
      <c r="J112" s="57">
        <f t="shared" si="115"/>
        <v>2819.6</v>
      </c>
      <c r="K112" s="57">
        <f t="shared" si="115"/>
        <v>305.604266</v>
      </c>
      <c r="L112" s="57">
        <f t="shared" si="115"/>
        <v>3791.7</v>
      </c>
      <c r="M112" s="57">
        <f>M113+M114-0.1</f>
        <v>708.75476242000002</v>
      </c>
      <c r="N112" s="57">
        <f t="shared" si="115"/>
        <v>199.3</v>
      </c>
      <c r="O112" s="57">
        <f>O113+O114-0.1</f>
        <v>120.15762000000001</v>
      </c>
      <c r="P112" s="57">
        <f t="shared" si="115"/>
        <v>24841.140628939997</v>
      </c>
      <c r="Q112" s="40"/>
      <c r="R112" s="40"/>
    </row>
    <row r="113" spans="1:18" x14ac:dyDescent="0.3">
      <c r="A113" s="59" t="s">
        <v>81</v>
      </c>
      <c r="B113" s="42">
        <f>B117+B139</f>
        <v>443.50000000000006</v>
      </c>
      <c r="C113" s="42">
        <f>C117+C139</f>
        <v>5280.8431999999993</v>
      </c>
      <c r="D113" s="42">
        <f t="shared" ref="D113:N113" si="116">D117+D139</f>
        <v>794</v>
      </c>
      <c r="E113" s="42">
        <f>E117+E139</f>
        <v>10538.60149778</v>
      </c>
      <c r="F113" s="42">
        <f t="shared" si="116"/>
        <v>33.4</v>
      </c>
      <c r="G113" s="42">
        <f>G117+G139</f>
        <v>411.19621760000001</v>
      </c>
      <c r="H113" s="42">
        <f t="shared" si="116"/>
        <v>729.09999999999991</v>
      </c>
      <c r="I113" s="42">
        <f>I117+I139</f>
        <v>74.495792499999993</v>
      </c>
      <c r="J113" s="42">
        <f t="shared" si="116"/>
        <v>2114.6</v>
      </c>
      <c r="K113" s="42">
        <f>K117+K139</f>
        <v>215.95925499999998</v>
      </c>
      <c r="L113" s="42">
        <f t="shared" si="116"/>
        <v>2843.7</v>
      </c>
      <c r="M113" s="42">
        <f>M117+M139</f>
        <v>485.94245658</v>
      </c>
      <c r="N113" s="42">
        <f t="shared" si="116"/>
        <v>149.5</v>
      </c>
      <c r="O113" s="42">
        <f>O117+O139</f>
        <v>90.208300000000008</v>
      </c>
      <c r="P113" s="42">
        <f>P117+P139+0.1</f>
        <v>17097.246719459999</v>
      </c>
      <c r="Q113" s="40"/>
      <c r="R113" s="40"/>
    </row>
    <row r="114" spans="1:18" x14ac:dyDescent="0.3">
      <c r="A114" s="59" t="s">
        <v>82</v>
      </c>
      <c r="B114" s="42">
        <f>B118+B140</f>
        <v>147.80000000000001</v>
      </c>
      <c r="C114" s="42">
        <f>C118+C140</f>
        <v>1846.11848384</v>
      </c>
      <c r="D114" s="42">
        <f t="shared" ref="D114:N114" si="117">D118+D140</f>
        <v>264.7</v>
      </c>
      <c r="E114" s="42">
        <f>E118+E140</f>
        <v>5263.098849</v>
      </c>
      <c r="F114" s="42">
        <f t="shared" si="117"/>
        <v>14.1</v>
      </c>
      <c r="G114" s="42">
        <f>G118+G140</f>
        <v>261.30548920000001</v>
      </c>
      <c r="H114" s="42">
        <f t="shared" si="117"/>
        <v>243</v>
      </c>
      <c r="I114" s="42">
        <f>I118+I140</f>
        <v>30.864450599999998</v>
      </c>
      <c r="J114" s="42">
        <f t="shared" si="117"/>
        <v>705</v>
      </c>
      <c r="K114" s="42">
        <f>K118+K140+0.1</f>
        <v>89.645010999999997</v>
      </c>
      <c r="L114" s="42">
        <f t="shared" si="117"/>
        <v>948</v>
      </c>
      <c r="M114" s="42">
        <f>M118+M140</f>
        <v>222.91230583999999</v>
      </c>
      <c r="N114" s="42">
        <f t="shared" si="117"/>
        <v>49.8</v>
      </c>
      <c r="O114" s="42">
        <f>O118+O140+0.1</f>
        <v>30.049320000000002</v>
      </c>
      <c r="P114" s="42">
        <f>P118+P140</f>
        <v>7743.8939094799989</v>
      </c>
      <c r="Q114" s="40"/>
      <c r="R114" s="40"/>
    </row>
    <row r="115" spans="1:18" ht="19.5" thickBot="1" x14ac:dyDescent="0.35">
      <c r="A115" s="97" t="s">
        <v>11</v>
      </c>
      <c r="B115" s="97"/>
      <c r="C115" s="97"/>
      <c r="D115" s="97"/>
      <c r="E115" s="97"/>
      <c r="F115" s="97"/>
      <c r="G115" s="97"/>
      <c r="H115" s="97"/>
      <c r="I115" s="97"/>
      <c r="J115" s="97"/>
      <c r="K115" s="97"/>
      <c r="L115" s="97"/>
      <c r="M115" s="97"/>
      <c r="N115" s="97"/>
      <c r="O115" s="97"/>
      <c r="P115" s="97"/>
      <c r="Q115" s="40"/>
      <c r="R115" s="40"/>
    </row>
    <row r="116" spans="1:18" ht="93.75" x14ac:dyDescent="0.3">
      <c r="A116" s="64" t="s">
        <v>44</v>
      </c>
      <c r="B116" s="38">
        <f>B117+B118</f>
        <v>55.699999999999996</v>
      </c>
      <c r="C116" s="38">
        <f t="shared" ref="C116:P116" si="118">C117+C118</f>
        <v>671.34103391999997</v>
      </c>
      <c r="D116" s="38">
        <f t="shared" si="118"/>
        <v>259.8</v>
      </c>
      <c r="E116" s="38">
        <f t="shared" si="118"/>
        <v>4725.3061215799999</v>
      </c>
      <c r="F116" s="38">
        <f t="shared" si="118"/>
        <v>0</v>
      </c>
      <c r="G116" s="38">
        <f t="shared" si="118"/>
        <v>0</v>
      </c>
      <c r="H116" s="38">
        <f t="shared" si="118"/>
        <v>0</v>
      </c>
      <c r="I116" s="38">
        <f t="shared" si="118"/>
        <v>0</v>
      </c>
      <c r="J116" s="38">
        <f t="shared" si="118"/>
        <v>335.6</v>
      </c>
      <c r="K116" s="38">
        <f t="shared" si="118"/>
        <v>36.276422799999999</v>
      </c>
      <c r="L116" s="38">
        <f t="shared" si="118"/>
        <v>335.6</v>
      </c>
      <c r="M116" s="38">
        <f t="shared" si="118"/>
        <v>62.243917839999995</v>
      </c>
      <c r="N116" s="38">
        <f t="shared" si="118"/>
        <v>91.3</v>
      </c>
      <c r="O116" s="38">
        <f t="shared" si="118"/>
        <v>54.99042</v>
      </c>
      <c r="P116" s="38">
        <f t="shared" si="118"/>
        <v>5550.0579161400001</v>
      </c>
      <c r="Q116" s="40"/>
      <c r="R116" s="40"/>
    </row>
    <row r="117" spans="1:18" x14ac:dyDescent="0.3">
      <c r="A117" s="47" t="s">
        <v>81</v>
      </c>
      <c r="B117" s="42">
        <f>B121+B124+B127+B130+B133+B136</f>
        <v>41.8</v>
      </c>
      <c r="C117" s="42">
        <f>C121+C124+C127+C130+C133+C136</f>
        <v>497.72095999999999</v>
      </c>
      <c r="D117" s="42">
        <f t="shared" ref="D117:P117" si="119">D121+D124+D127+D130+D133+D136</f>
        <v>194.8</v>
      </c>
      <c r="E117" s="42">
        <f>E121+E124+E127+E130+E133+E136</f>
        <v>3161.6921089799998</v>
      </c>
      <c r="F117" s="42">
        <f t="shared" si="119"/>
        <v>0</v>
      </c>
      <c r="G117" s="42">
        <f t="shared" si="119"/>
        <v>0</v>
      </c>
      <c r="H117" s="42">
        <f t="shared" si="119"/>
        <v>0</v>
      </c>
      <c r="I117" s="42">
        <f t="shared" si="119"/>
        <v>0</v>
      </c>
      <c r="J117" s="42">
        <f t="shared" si="119"/>
        <v>251.6</v>
      </c>
      <c r="K117" s="42">
        <f>K121+K124+K127+K130+K133+K136-0.1</f>
        <v>25.607229999999998</v>
      </c>
      <c r="L117" s="42">
        <f t="shared" si="119"/>
        <v>251.6</v>
      </c>
      <c r="M117" s="42">
        <f>M121+M124+M127+M130+M133+M136</f>
        <v>42.927163999999998</v>
      </c>
      <c r="N117" s="42">
        <f t="shared" si="119"/>
        <v>68.5</v>
      </c>
      <c r="O117" s="42">
        <f>O121+O124+O127+O130+O133+O136</f>
        <v>41.332900000000002</v>
      </c>
      <c r="P117" s="42">
        <f t="shared" si="119"/>
        <v>3769.1803629799997</v>
      </c>
      <c r="Q117" s="40"/>
      <c r="R117" s="40"/>
    </row>
    <row r="118" spans="1:18" x14ac:dyDescent="0.3">
      <c r="A118" s="47" t="s">
        <v>82</v>
      </c>
      <c r="B118" s="42">
        <f>B122+B125+B128+B131+B134+B137</f>
        <v>13.9</v>
      </c>
      <c r="C118" s="42">
        <f>C122+C125+C128+C131+C134+C137</f>
        <v>173.62007391999998</v>
      </c>
      <c r="D118" s="42">
        <f t="shared" ref="D118:P118" si="120">D122+D125+D128+D131+D134+D137</f>
        <v>65</v>
      </c>
      <c r="E118" s="42">
        <f>E122+E125+E128+E131+E134+E137</f>
        <v>1563.6140126</v>
      </c>
      <c r="F118" s="42">
        <f t="shared" si="120"/>
        <v>0</v>
      </c>
      <c r="G118" s="42">
        <f t="shared" si="120"/>
        <v>0</v>
      </c>
      <c r="H118" s="42">
        <f t="shared" si="120"/>
        <v>0</v>
      </c>
      <c r="I118" s="42">
        <f t="shared" si="120"/>
        <v>0</v>
      </c>
      <c r="J118" s="42">
        <f t="shared" si="120"/>
        <v>84</v>
      </c>
      <c r="K118" s="42">
        <f>K122+K125+K128+K131+K134+K137</f>
        <v>10.669192799999999</v>
      </c>
      <c r="L118" s="42">
        <f t="shared" si="120"/>
        <v>84</v>
      </c>
      <c r="M118" s="42">
        <f>M122+M125+M128+M131+M134+M137-0.1</f>
        <v>19.316753840000001</v>
      </c>
      <c r="N118" s="42">
        <f t="shared" si="120"/>
        <v>22.8</v>
      </c>
      <c r="O118" s="42">
        <f>O122+O125+O128+O131+O134+O137-0.1</f>
        <v>13.65752</v>
      </c>
      <c r="P118" s="42">
        <f t="shared" si="120"/>
        <v>1780.8775531599999</v>
      </c>
      <c r="Q118" s="40"/>
      <c r="R118" s="40"/>
    </row>
    <row r="119" spans="1:18" x14ac:dyDescent="0.3">
      <c r="A119" s="85" t="s">
        <v>11</v>
      </c>
      <c r="B119" s="86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  <c r="P119" s="87"/>
      <c r="Q119" s="40"/>
      <c r="R119" s="40"/>
    </row>
    <row r="120" spans="1:18" ht="112.5" x14ac:dyDescent="0.3">
      <c r="A120" s="65" t="s">
        <v>76</v>
      </c>
      <c r="B120" s="66">
        <v>0.4</v>
      </c>
      <c r="C120" s="42">
        <f>C121+C122</f>
        <v>4.8212252800000002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8">
        <f t="shared" si="47"/>
        <v>0</v>
      </c>
      <c r="M120" s="67">
        <v>0</v>
      </c>
      <c r="N120" s="67">
        <v>0</v>
      </c>
      <c r="O120" s="67">
        <v>0</v>
      </c>
      <c r="P120" s="43">
        <f>C120+E120+G120+I120+K120+M120+O120</f>
        <v>4.8212252800000002</v>
      </c>
      <c r="Q120" s="40"/>
      <c r="R120" s="40"/>
    </row>
    <row r="121" spans="1:18" x14ac:dyDescent="0.3">
      <c r="A121" s="47" t="s">
        <v>81</v>
      </c>
      <c r="B121" s="66">
        <v>0.3</v>
      </c>
      <c r="C121" s="42">
        <f>B121*ТАРИФЫ!$F$16</f>
        <v>3.5721599999999998</v>
      </c>
      <c r="D121" s="42">
        <v>0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2">
        <v>0</v>
      </c>
      <c r="P121" s="43">
        <f t="shared" ref="P121:P127" si="121">C121+E121+G121+I121+K121+M121+O121</f>
        <v>3.5721599999999998</v>
      </c>
      <c r="Q121" s="40"/>
      <c r="R121" s="40"/>
    </row>
    <row r="122" spans="1:18" x14ac:dyDescent="0.3">
      <c r="A122" s="47" t="s">
        <v>82</v>
      </c>
      <c r="B122" s="66">
        <v>0.1</v>
      </c>
      <c r="C122" s="42">
        <f>B122*ТАРИФЫ!$G$16</f>
        <v>1.2490652799999999</v>
      </c>
      <c r="D122" s="42">
        <v>0</v>
      </c>
      <c r="E122" s="42">
        <v>0</v>
      </c>
      <c r="F122" s="42">
        <v>0</v>
      </c>
      <c r="G122" s="42">
        <v>0</v>
      </c>
      <c r="H122" s="42">
        <v>0</v>
      </c>
      <c r="I122" s="42">
        <v>0</v>
      </c>
      <c r="J122" s="42">
        <v>0</v>
      </c>
      <c r="K122" s="42">
        <v>0</v>
      </c>
      <c r="L122" s="42">
        <v>0</v>
      </c>
      <c r="M122" s="42">
        <v>0</v>
      </c>
      <c r="N122" s="42">
        <v>0</v>
      </c>
      <c r="O122" s="42">
        <v>0</v>
      </c>
      <c r="P122" s="43">
        <f t="shared" si="121"/>
        <v>1.2490652799999999</v>
      </c>
      <c r="Q122" s="40"/>
      <c r="R122" s="40"/>
    </row>
    <row r="123" spans="1:18" ht="93.75" x14ac:dyDescent="0.3">
      <c r="A123" s="65" t="s">
        <v>60</v>
      </c>
      <c r="B123" s="69">
        <f>B124+B125</f>
        <v>12.8</v>
      </c>
      <c r="C123" s="69">
        <f t="shared" ref="C123:N123" si="122">C124+C125</f>
        <v>154.27920896000001</v>
      </c>
      <c r="D123" s="69">
        <f t="shared" si="122"/>
        <v>106.8</v>
      </c>
      <c r="E123" s="69">
        <f>E124+E125-0.1</f>
        <v>1480.6554068000003</v>
      </c>
      <c r="F123" s="69">
        <f t="shared" si="122"/>
        <v>0</v>
      </c>
      <c r="G123" s="69">
        <f t="shared" si="122"/>
        <v>0</v>
      </c>
      <c r="H123" s="69">
        <f t="shared" si="122"/>
        <v>0</v>
      </c>
      <c r="I123" s="69">
        <f t="shared" si="122"/>
        <v>0</v>
      </c>
      <c r="J123" s="69">
        <f t="shared" si="122"/>
        <v>289</v>
      </c>
      <c r="K123" s="69">
        <f t="shared" si="122"/>
        <v>31.324449159999997</v>
      </c>
      <c r="L123" s="69">
        <f t="shared" si="122"/>
        <v>289</v>
      </c>
      <c r="M123" s="69">
        <f>M124+M125-0.1</f>
        <v>53.973142559999992</v>
      </c>
      <c r="N123" s="69">
        <f t="shared" si="122"/>
        <v>44.2</v>
      </c>
      <c r="O123" s="69">
        <f>O124+O125-0.1</f>
        <v>26.57028</v>
      </c>
      <c r="P123" s="69">
        <f>P124+P125+0.1</f>
        <v>1746.9024874799998</v>
      </c>
      <c r="Q123" s="40"/>
      <c r="R123" s="40"/>
    </row>
    <row r="124" spans="1:18" x14ac:dyDescent="0.3">
      <c r="A124" s="47" t="s">
        <v>81</v>
      </c>
      <c r="B124" s="66">
        <v>9.6</v>
      </c>
      <c r="C124" s="42">
        <f>B124*ТАРИФЫ!$F$16</f>
        <v>114.30911999999999</v>
      </c>
      <c r="D124" s="66">
        <v>80.099999999999994</v>
      </c>
      <c r="E124" s="42">
        <f>D124*ТАРИФЫ!$F$4/1000</f>
        <v>986.1322464000001</v>
      </c>
      <c r="F124" s="42">
        <v>0</v>
      </c>
      <c r="G124" s="42">
        <f>F124*ТАРИФЫ!$F$4/1000</f>
        <v>0</v>
      </c>
      <c r="H124" s="42">
        <v>0</v>
      </c>
      <c r="I124" s="42">
        <v>0</v>
      </c>
      <c r="J124" s="66">
        <v>216.7</v>
      </c>
      <c r="K124" s="42">
        <f>J124*ТАРИФЫ!$F$8/1000</f>
        <v>22.141322499999998</v>
      </c>
      <c r="L124" s="42">
        <f t="shared" si="47"/>
        <v>216.7</v>
      </c>
      <c r="M124" s="42">
        <f>L124*ТАРИФЫ!$F$12/1000</f>
        <v>37.036153659999997</v>
      </c>
      <c r="N124" s="66">
        <v>33.200000000000003</v>
      </c>
      <c r="O124" s="42">
        <f>N124*ТАРИФЫ!$E$20/1000</f>
        <v>20.032880000000002</v>
      </c>
      <c r="P124" s="43">
        <f>C124+E124+G124+I124+K124+M124+O124-0.2</f>
        <v>1179.45172256</v>
      </c>
      <c r="Q124" s="40"/>
      <c r="R124" s="40"/>
    </row>
    <row r="125" spans="1:18" x14ac:dyDescent="0.3">
      <c r="A125" s="47" t="s">
        <v>82</v>
      </c>
      <c r="B125" s="66">
        <v>3.2</v>
      </c>
      <c r="C125" s="42">
        <f>B125*ТАРИФЫ!$G$16</f>
        <v>39.970088959999998</v>
      </c>
      <c r="D125" s="66">
        <v>26.7</v>
      </c>
      <c r="E125" s="42">
        <f>D125*ТАРИФЫ!$G$4/1000</f>
        <v>494.62316040000002</v>
      </c>
      <c r="F125" s="42">
        <v>0</v>
      </c>
      <c r="G125" s="42">
        <f>F125*ТАРИФЫ!$G$46/1000</f>
        <v>0</v>
      </c>
      <c r="H125" s="42">
        <v>0</v>
      </c>
      <c r="I125" s="42">
        <v>0</v>
      </c>
      <c r="J125" s="66">
        <v>72.3</v>
      </c>
      <c r="K125" s="42">
        <f>J125*ТАРИФЫ!$G$8/1000</f>
        <v>9.1831266599999992</v>
      </c>
      <c r="L125" s="42">
        <f t="shared" si="47"/>
        <v>72.3</v>
      </c>
      <c r="M125" s="42">
        <f>L125*ТАРИФЫ!$G$12/1000</f>
        <v>17.036988900000001</v>
      </c>
      <c r="N125" s="66">
        <v>11</v>
      </c>
      <c r="O125" s="42">
        <f>N125*ТАРИФЫ!$E$20/1000</f>
        <v>6.6373999999999995</v>
      </c>
      <c r="P125" s="43">
        <f>C125+E125+G125+I125+K125+M125+O125-0.1</f>
        <v>567.35076491999996</v>
      </c>
      <c r="Q125" s="40"/>
      <c r="R125" s="40"/>
    </row>
    <row r="126" spans="1:18" ht="112.5" x14ac:dyDescent="0.3">
      <c r="A126" s="65" t="s">
        <v>77</v>
      </c>
      <c r="B126" s="69">
        <f>B127+B128</f>
        <v>6.7</v>
      </c>
      <c r="C126" s="69">
        <f>C127+C128-0.1</f>
        <v>80.670109760000003</v>
      </c>
      <c r="D126" s="69">
        <f>D127+D128</f>
        <v>89.9</v>
      </c>
      <c r="E126" s="69">
        <f>E127+E128</f>
        <v>1246.5964636000001</v>
      </c>
      <c r="F126" s="69">
        <f t="shared" ref="F126:K126" si="123">F127+F128</f>
        <v>0</v>
      </c>
      <c r="G126" s="69">
        <f t="shared" si="123"/>
        <v>0</v>
      </c>
      <c r="H126" s="69">
        <f t="shared" si="123"/>
        <v>0</v>
      </c>
      <c r="I126" s="69">
        <f t="shared" si="123"/>
        <v>0</v>
      </c>
      <c r="J126" s="69">
        <f t="shared" si="123"/>
        <v>17.399999999999999</v>
      </c>
      <c r="K126" s="69">
        <f t="shared" si="123"/>
        <v>1.8871374799999998</v>
      </c>
      <c r="L126" s="69">
        <f t="shared" ref="L126" si="124">L127+L128</f>
        <v>17.399999999999999</v>
      </c>
      <c r="M126" s="69">
        <f>M127+M128-0.1</f>
        <v>3.1586565999999996</v>
      </c>
      <c r="N126" s="69">
        <f t="shared" ref="N126" si="125">N127+N128</f>
        <v>24</v>
      </c>
      <c r="O126" s="69">
        <f t="shared" ref="O126" si="126">O127+O128</f>
        <v>14.481599999999998</v>
      </c>
      <c r="P126" s="43">
        <f>C126+E126+G126+I126+K126+M126+O126+0.1</f>
        <v>1346.8939674400003</v>
      </c>
      <c r="Q126" s="40"/>
      <c r="R126" s="40"/>
    </row>
    <row r="127" spans="1:18" x14ac:dyDescent="0.3">
      <c r="A127" s="47" t="s">
        <v>81</v>
      </c>
      <c r="B127" s="69">
        <v>5</v>
      </c>
      <c r="C127" s="42">
        <f>B127*ТАРИФЫ!$F$16</f>
        <v>59.536000000000001</v>
      </c>
      <c r="D127" s="66">
        <v>67.400000000000006</v>
      </c>
      <c r="E127" s="42">
        <f>D127*ТАРИФЫ!$F$4/1000</f>
        <v>829.7791936000001</v>
      </c>
      <c r="F127" s="42">
        <v>0</v>
      </c>
      <c r="G127" s="42">
        <v>0</v>
      </c>
      <c r="H127" s="42">
        <v>0</v>
      </c>
      <c r="I127" s="42">
        <v>0</v>
      </c>
      <c r="J127" s="69">
        <v>13</v>
      </c>
      <c r="K127" s="42">
        <f>J127*ТАРИФЫ!$F$8/1000</f>
        <v>1.3282749999999999</v>
      </c>
      <c r="L127" s="42">
        <f t="shared" si="47"/>
        <v>13</v>
      </c>
      <c r="M127" s="42">
        <f>L127*ТАРИФЫ!$F$12/1000</f>
        <v>2.2218273999999996</v>
      </c>
      <c r="N127" s="42">
        <v>18</v>
      </c>
      <c r="O127" s="42">
        <f>N127*ТАРИФЫ!$E$20/1000</f>
        <v>10.861199999999998</v>
      </c>
      <c r="P127" s="43">
        <f t="shared" si="121"/>
        <v>903.72649600000022</v>
      </c>
      <c r="Q127" s="40"/>
      <c r="R127" s="40"/>
    </row>
    <row r="128" spans="1:18" x14ac:dyDescent="0.3">
      <c r="A128" s="47" t="s">
        <v>82</v>
      </c>
      <c r="B128" s="69">
        <v>1.7</v>
      </c>
      <c r="C128" s="42">
        <f>B128*ТАРИФЫ!$G$16</f>
        <v>21.234109759999999</v>
      </c>
      <c r="D128" s="66">
        <v>22.5</v>
      </c>
      <c r="E128" s="42">
        <f>D128*ТАРИФЫ!$G$4/1000</f>
        <v>416.81727000000001</v>
      </c>
      <c r="F128" s="42">
        <v>0</v>
      </c>
      <c r="G128" s="42">
        <v>0</v>
      </c>
      <c r="H128" s="42">
        <v>0</v>
      </c>
      <c r="I128" s="42">
        <v>0</v>
      </c>
      <c r="J128" s="66">
        <v>4.4000000000000004</v>
      </c>
      <c r="K128" s="42">
        <f>J128*ТАРИФЫ!$G$8/1000</f>
        <v>0.55886248000000005</v>
      </c>
      <c r="L128" s="42">
        <f t="shared" si="47"/>
        <v>4.4000000000000004</v>
      </c>
      <c r="M128" s="42">
        <f>L128*ТАРИФЫ!$G$12/1000</f>
        <v>1.0368292000000001</v>
      </c>
      <c r="N128" s="42">
        <v>6</v>
      </c>
      <c r="O128" s="42">
        <f>N128*ТАРИФЫ!$E$20/1000</f>
        <v>3.6203999999999996</v>
      </c>
      <c r="P128" s="43">
        <f>C128+E128+G128+I128+K128+M128+O128-0.1</f>
        <v>443.16747144000004</v>
      </c>
      <c r="Q128" s="40"/>
      <c r="R128" s="40"/>
    </row>
    <row r="129" spans="1:18" ht="112.5" x14ac:dyDescent="0.3">
      <c r="A129" s="65" t="s">
        <v>78</v>
      </c>
      <c r="B129" s="66">
        <f>B130+B131</f>
        <v>24.5</v>
      </c>
      <c r="C129" s="69">
        <f>C130+C131</f>
        <v>295.28546207999995</v>
      </c>
      <c r="D129" s="67">
        <v>0</v>
      </c>
      <c r="E129" s="67">
        <v>0</v>
      </c>
      <c r="F129" s="67">
        <v>0</v>
      </c>
      <c r="G129" s="67">
        <v>0</v>
      </c>
      <c r="H129" s="67">
        <v>0</v>
      </c>
      <c r="I129" s="67">
        <v>0</v>
      </c>
      <c r="J129" s="67">
        <v>0</v>
      </c>
      <c r="K129" s="42">
        <f>(J129/12*ТАРИФЫ!F8*9+J129/12*ТАРИФЫ!G8*3)/1000</f>
        <v>0</v>
      </c>
      <c r="L129" s="68">
        <f t="shared" si="47"/>
        <v>0</v>
      </c>
      <c r="M129" s="42">
        <f>(L129/12*ТАРИФЫ!F14*9+L129/12*ТАРИФЫ!G14*3)/1000</f>
        <v>0</v>
      </c>
      <c r="N129" s="67">
        <v>0</v>
      </c>
      <c r="O129" s="67">
        <v>0</v>
      </c>
      <c r="P129" s="43">
        <f>C129+E129+G129+I129+K129+M129+O129</f>
        <v>295.28546207999995</v>
      </c>
      <c r="Q129" s="40"/>
      <c r="R129" s="40"/>
    </row>
    <row r="130" spans="1:18" x14ac:dyDescent="0.3">
      <c r="A130" s="47" t="s">
        <v>81</v>
      </c>
      <c r="B130" s="66">
        <v>18.399999999999999</v>
      </c>
      <c r="C130" s="42">
        <f>B130*ТАРИФЫ!$F$16</f>
        <v>219.09247999999997</v>
      </c>
      <c r="D130" s="42">
        <v>0</v>
      </c>
      <c r="E130" s="42">
        <v>0</v>
      </c>
      <c r="F130" s="42">
        <v>0</v>
      </c>
      <c r="G130" s="42">
        <v>0</v>
      </c>
      <c r="H130" s="42">
        <v>0</v>
      </c>
      <c r="I130" s="42">
        <v>0</v>
      </c>
      <c r="J130" s="42">
        <v>0</v>
      </c>
      <c r="K130" s="42">
        <f>J130*ТАРИФЫ!$F$8/1000</f>
        <v>0</v>
      </c>
      <c r="L130" s="42">
        <v>0</v>
      </c>
      <c r="M130" s="42">
        <f>L130*ТАРИФЫ!$F$12/1000</f>
        <v>0</v>
      </c>
      <c r="N130" s="42">
        <v>0</v>
      </c>
      <c r="O130" s="42">
        <v>0</v>
      </c>
      <c r="P130" s="43">
        <f t="shared" ref="P130:P131" si="127">C130+E130+G130+I130+K130+M130+O130</f>
        <v>219.09247999999997</v>
      </c>
      <c r="Q130" s="40"/>
      <c r="R130" s="40"/>
    </row>
    <row r="131" spans="1:18" x14ac:dyDescent="0.3">
      <c r="A131" s="47" t="s">
        <v>82</v>
      </c>
      <c r="B131" s="66">
        <v>6.1</v>
      </c>
      <c r="C131" s="42">
        <f>B131*ТАРИФЫ!$G$16</f>
        <v>76.192982079999993</v>
      </c>
      <c r="D131" s="42">
        <v>0</v>
      </c>
      <c r="E131" s="42">
        <v>0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42">
        <f>J131*ТАРИФЫ!$G$8/1000</f>
        <v>0</v>
      </c>
      <c r="L131" s="42">
        <v>0</v>
      </c>
      <c r="M131" s="42">
        <f>L131*ТАРИФЫ!$G$12/1000</f>
        <v>0</v>
      </c>
      <c r="N131" s="42">
        <v>0</v>
      </c>
      <c r="O131" s="42">
        <v>0</v>
      </c>
      <c r="P131" s="43">
        <f t="shared" si="127"/>
        <v>76.192982079999993</v>
      </c>
      <c r="Q131" s="40"/>
      <c r="R131" s="40"/>
    </row>
    <row r="132" spans="1:18" ht="112.5" x14ac:dyDescent="0.3">
      <c r="A132" s="63" t="s">
        <v>79</v>
      </c>
      <c r="B132" s="69">
        <f>B133+B134</f>
        <v>5.6999999999999993</v>
      </c>
      <c r="C132" s="69">
        <f>C133+C134</f>
        <v>68.687873919999987</v>
      </c>
      <c r="D132" s="69">
        <f t="shared" ref="D132:E132" si="128">D133+D134</f>
        <v>63.099999999999994</v>
      </c>
      <c r="E132" s="69">
        <f t="shared" si="128"/>
        <v>1997.9542511799996</v>
      </c>
      <c r="F132" s="69">
        <f t="shared" ref="F132" si="129">F133+F134</f>
        <v>0</v>
      </c>
      <c r="G132" s="69">
        <f t="shared" ref="G132" si="130">G133+G134</f>
        <v>0</v>
      </c>
      <c r="H132" s="69">
        <f t="shared" ref="H132" si="131">H133+H134</f>
        <v>0</v>
      </c>
      <c r="I132" s="69">
        <f t="shared" ref="I132" si="132">I133+I134</f>
        <v>0</v>
      </c>
      <c r="J132" s="69">
        <f t="shared" ref="J132" si="133">J133+J134</f>
        <v>29.2</v>
      </c>
      <c r="K132" s="69">
        <f>K133+K134-0.1</f>
        <v>3.0648361599999996</v>
      </c>
      <c r="L132" s="69">
        <f t="shared" ref="L132:M132" si="134">L133+L134</f>
        <v>29.2</v>
      </c>
      <c r="M132" s="69">
        <f t="shared" si="134"/>
        <v>5.0121186800000004</v>
      </c>
      <c r="N132" s="42">
        <f>N133+N134</f>
        <v>23.1</v>
      </c>
      <c r="O132" s="42">
        <f>O133+O134</f>
        <v>13.93854</v>
      </c>
      <c r="P132" s="43">
        <f t="shared" ref="P132:P169" si="135">C132+E132+G132+I132+K132+M132+O132</f>
        <v>2088.6576199400001</v>
      </c>
      <c r="Q132" s="40"/>
      <c r="R132" s="40"/>
    </row>
    <row r="133" spans="1:18" x14ac:dyDescent="0.3">
      <c r="A133" s="47" t="s">
        <v>81</v>
      </c>
      <c r="B133" s="42">
        <v>4.3</v>
      </c>
      <c r="C133" s="42">
        <f>B133*ТАРИФЫ!$F$16</f>
        <v>51.200959999999995</v>
      </c>
      <c r="D133" s="42">
        <v>47.3</v>
      </c>
      <c r="E133" s="42">
        <f>D133*ТАРИФЫ!$F$6/1000</f>
        <v>1345.7806689799997</v>
      </c>
      <c r="F133" s="42">
        <v>0</v>
      </c>
      <c r="G133" s="42">
        <f>F133*ТАРИФЫ!$F$7/1000</f>
        <v>0</v>
      </c>
      <c r="H133" s="42">
        <v>0</v>
      </c>
      <c r="I133" s="42">
        <v>0</v>
      </c>
      <c r="J133" s="42">
        <v>21.9</v>
      </c>
      <c r="K133" s="42">
        <f>J133*ТАРИФЫ!$F$10/1000</f>
        <v>2.2376324999999997</v>
      </c>
      <c r="L133" s="42">
        <f t="shared" si="47"/>
        <v>21.9</v>
      </c>
      <c r="M133" s="42">
        <f>L133*ТАРИФЫ!$F$14/1000</f>
        <v>3.6691829400000002</v>
      </c>
      <c r="N133" s="42">
        <v>17.3</v>
      </c>
      <c r="O133" s="42">
        <f>N133*ТАРИФЫ!$E$20/1000</f>
        <v>10.43882</v>
      </c>
      <c r="P133" s="43">
        <f t="shared" si="135"/>
        <v>1413.3272644199997</v>
      </c>
      <c r="Q133" s="40"/>
      <c r="R133" s="40"/>
    </row>
    <row r="134" spans="1:18" x14ac:dyDescent="0.3">
      <c r="A134" s="47" t="s">
        <v>82</v>
      </c>
      <c r="B134" s="42">
        <v>1.4</v>
      </c>
      <c r="C134" s="42">
        <f>B134*ТАРИФЫ!$G$16</f>
        <v>17.486913919999999</v>
      </c>
      <c r="D134" s="42">
        <v>15.8</v>
      </c>
      <c r="E134" s="42">
        <f>D134*ТАРИФЫ!$G$6/1000</f>
        <v>652.17358219999994</v>
      </c>
      <c r="F134" s="42">
        <v>0</v>
      </c>
      <c r="G134" s="42">
        <f>F134*ТАРИФЫ!$G$7/1000</f>
        <v>0</v>
      </c>
      <c r="H134" s="42">
        <v>0</v>
      </c>
      <c r="I134" s="42">
        <v>0</v>
      </c>
      <c r="J134" s="42">
        <v>7.3</v>
      </c>
      <c r="K134" s="42">
        <f>J134*ТАРИФЫ!$G$10/1000</f>
        <v>0.92720365999999999</v>
      </c>
      <c r="L134" s="42">
        <f t="shared" si="47"/>
        <v>7.3</v>
      </c>
      <c r="M134" s="42">
        <f>L134*ТАРИФЫ!$G$14/1000</f>
        <v>1.3429357399999999</v>
      </c>
      <c r="N134" s="42">
        <v>5.8</v>
      </c>
      <c r="O134" s="42">
        <f>N134*ТАРИФЫ!$E$20/1000</f>
        <v>3.4997199999999999</v>
      </c>
      <c r="P134" s="43">
        <f>C134+E134+G134+I134+K134+M134+O134</f>
        <v>675.43035552000003</v>
      </c>
      <c r="Q134" s="40"/>
      <c r="R134" s="40"/>
    </row>
    <row r="135" spans="1:18" ht="112.5" x14ac:dyDescent="0.3">
      <c r="A135" s="63" t="s">
        <v>80</v>
      </c>
      <c r="B135" s="69">
        <f>B136+B137</f>
        <v>5.6</v>
      </c>
      <c r="C135" s="69">
        <f t="shared" ref="C135:O135" si="136">C136+C137</f>
        <v>67.497153920000002</v>
      </c>
      <c r="D135" s="69">
        <f t="shared" si="136"/>
        <v>0</v>
      </c>
      <c r="E135" s="69">
        <f t="shared" si="136"/>
        <v>0</v>
      </c>
      <c r="F135" s="69">
        <f t="shared" si="136"/>
        <v>0</v>
      </c>
      <c r="G135" s="69">
        <f t="shared" si="136"/>
        <v>0</v>
      </c>
      <c r="H135" s="69">
        <f t="shared" si="136"/>
        <v>0</v>
      </c>
      <c r="I135" s="69">
        <f t="shared" si="136"/>
        <v>0</v>
      </c>
      <c r="J135" s="69">
        <f t="shared" si="136"/>
        <v>0</v>
      </c>
      <c r="K135" s="69">
        <f t="shared" si="136"/>
        <v>0</v>
      </c>
      <c r="L135" s="69">
        <f t="shared" si="136"/>
        <v>0</v>
      </c>
      <c r="M135" s="69">
        <f t="shared" si="136"/>
        <v>0</v>
      </c>
      <c r="N135" s="69">
        <f t="shared" si="136"/>
        <v>0</v>
      </c>
      <c r="O135" s="69">
        <f t="shared" si="136"/>
        <v>0</v>
      </c>
      <c r="P135" s="43">
        <f t="shared" ref="P135:P137" si="137">C135+E135+G135+I135+K135+M135+O135</f>
        <v>67.497153920000002</v>
      </c>
      <c r="Q135" s="40"/>
      <c r="R135" s="40"/>
    </row>
    <row r="136" spans="1:18" x14ac:dyDescent="0.3">
      <c r="A136" s="47" t="s">
        <v>81</v>
      </c>
      <c r="B136" s="42">
        <v>4.2</v>
      </c>
      <c r="C136" s="42">
        <f>B136*ТАРИФЫ!$F$16</f>
        <v>50.010240000000003</v>
      </c>
      <c r="D136" s="42">
        <v>0</v>
      </c>
      <c r="E136" s="42">
        <f>D136*ТАРИФЫ!$F$7/1000</f>
        <v>0</v>
      </c>
      <c r="F136" s="42">
        <v>0</v>
      </c>
      <c r="G136" s="42">
        <f>F136*ТАРИФЫ!$F$7/1000</f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2">
        <v>0</v>
      </c>
      <c r="P136" s="43">
        <f t="shared" si="137"/>
        <v>50.010240000000003</v>
      </c>
      <c r="Q136" s="40"/>
      <c r="R136" s="40"/>
    </row>
    <row r="137" spans="1:18" ht="19.5" thickBot="1" x14ac:dyDescent="0.35">
      <c r="A137" s="50" t="s">
        <v>82</v>
      </c>
      <c r="B137" s="45">
        <v>1.4</v>
      </c>
      <c r="C137" s="45">
        <f>B137*ТАРИФЫ!$G$16</f>
        <v>17.486913919999999</v>
      </c>
      <c r="D137" s="45">
        <v>0</v>
      </c>
      <c r="E137" s="45">
        <f>D137*ТАРИФЫ!$G$7/1000</f>
        <v>0</v>
      </c>
      <c r="F137" s="45">
        <v>0</v>
      </c>
      <c r="G137" s="45">
        <f>F137*ТАРИФЫ!$G$7/1000</f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5">
        <v>0</v>
      </c>
      <c r="P137" s="46">
        <f t="shared" si="137"/>
        <v>17.486913919999999</v>
      </c>
      <c r="Q137" s="40"/>
      <c r="R137" s="40"/>
    </row>
    <row r="138" spans="1:18" ht="93.75" x14ac:dyDescent="0.3">
      <c r="A138" s="64" t="s">
        <v>90</v>
      </c>
      <c r="B138" s="38">
        <f t="shared" ref="B138:E139" si="138">B142+B145</f>
        <v>535.6</v>
      </c>
      <c r="C138" s="38">
        <f t="shared" si="138"/>
        <v>6455.6206499199998</v>
      </c>
      <c r="D138" s="38">
        <f t="shared" si="138"/>
        <v>798.9</v>
      </c>
      <c r="E138" s="38">
        <f t="shared" si="138"/>
        <v>11076.394225200002</v>
      </c>
      <c r="F138" s="38">
        <f t="shared" ref="F138:N138" si="139">F142+F145</f>
        <v>47.5</v>
      </c>
      <c r="G138" s="38">
        <f>G142+G145</f>
        <v>672.50170680000008</v>
      </c>
      <c r="H138" s="38">
        <f t="shared" si="139"/>
        <v>972.09999999999991</v>
      </c>
      <c r="I138" s="38">
        <f>I142+I145-0.1</f>
        <v>105.36024309999999</v>
      </c>
      <c r="J138" s="38">
        <f t="shared" si="139"/>
        <v>2484</v>
      </c>
      <c r="K138" s="38">
        <f>K142+K145+0.1</f>
        <v>269.32784320000002</v>
      </c>
      <c r="L138" s="38">
        <f t="shared" si="139"/>
        <v>3456.1</v>
      </c>
      <c r="M138" s="38">
        <f>M142+M145+0.1</f>
        <v>646.61084458000005</v>
      </c>
      <c r="N138" s="38">
        <f t="shared" si="139"/>
        <v>108</v>
      </c>
      <c r="O138" s="38">
        <f>O142+O145-0.1</f>
        <v>65.167199999999994</v>
      </c>
      <c r="P138" s="39">
        <f>P142+P145</f>
        <v>19290.982712800003</v>
      </c>
      <c r="Q138" s="40"/>
      <c r="R138" s="40"/>
    </row>
    <row r="139" spans="1:18" ht="31.5" customHeight="1" x14ac:dyDescent="0.3">
      <c r="A139" s="47" t="s">
        <v>81</v>
      </c>
      <c r="B139" s="42">
        <f t="shared" si="138"/>
        <v>401.70000000000005</v>
      </c>
      <c r="C139" s="42">
        <f t="shared" si="138"/>
        <v>4783.1222399999997</v>
      </c>
      <c r="D139" s="42">
        <f t="shared" si="138"/>
        <v>599.20000000000005</v>
      </c>
      <c r="E139" s="42">
        <f t="shared" si="138"/>
        <v>7376.9093888000007</v>
      </c>
      <c r="F139" s="42">
        <f t="shared" ref="F139:P139" si="140">F143+F146</f>
        <v>33.4</v>
      </c>
      <c r="G139" s="42">
        <f>G143+G146</f>
        <v>411.19621760000001</v>
      </c>
      <c r="H139" s="42">
        <f t="shared" si="140"/>
        <v>729.09999999999991</v>
      </c>
      <c r="I139" s="42">
        <f t="shared" si="140"/>
        <v>74.495792499999993</v>
      </c>
      <c r="J139" s="42">
        <f t="shared" si="140"/>
        <v>1863</v>
      </c>
      <c r="K139" s="42">
        <f>K143+K146</f>
        <v>190.352025</v>
      </c>
      <c r="L139" s="42">
        <f t="shared" si="140"/>
        <v>2592.1</v>
      </c>
      <c r="M139" s="42">
        <f>M143+M146</f>
        <v>443.01529257999999</v>
      </c>
      <c r="N139" s="42">
        <f t="shared" si="140"/>
        <v>81</v>
      </c>
      <c r="O139" s="42">
        <f t="shared" si="140"/>
        <v>48.875399999999999</v>
      </c>
      <c r="P139" s="43">
        <f t="shared" si="140"/>
        <v>13327.966356480001</v>
      </c>
      <c r="Q139" s="40"/>
      <c r="R139" s="40"/>
    </row>
    <row r="140" spans="1:18" x14ac:dyDescent="0.3">
      <c r="A140" s="47" t="s">
        <v>82</v>
      </c>
      <c r="B140" s="42">
        <f t="shared" ref="B140:O140" si="141">B144+B147</f>
        <v>133.9</v>
      </c>
      <c r="C140" s="42">
        <f>C144+C147</f>
        <v>1672.4984099200001</v>
      </c>
      <c r="D140" s="42">
        <f>D144+D147</f>
        <v>199.7</v>
      </c>
      <c r="E140" s="42">
        <f t="shared" si="141"/>
        <v>3699.4848363999995</v>
      </c>
      <c r="F140" s="42">
        <f t="shared" si="141"/>
        <v>14.1</v>
      </c>
      <c r="G140" s="42">
        <f>G144+G147+0.1</f>
        <v>261.30548920000001</v>
      </c>
      <c r="H140" s="42">
        <f t="shared" si="141"/>
        <v>243</v>
      </c>
      <c r="I140" s="42">
        <f t="shared" si="141"/>
        <v>30.864450599999998</v>
      </c>
      <c r="J140" s="42">
        <f t="shared" si="141"/>
        <v>621</v>
      </c>
      <c r="K140" s="42">
        <f>K144+K147</f>
        <v>78.875818199999998</v>
      </c>
      <c r="L140" s="42">
        <f t="shared" si="141"/>
        <v>864</v>
      </c>
      <c r="M140" s="42">
        <f t="shared" si="141"/>
        <v>203.595552</v>
      </c>
      <c r="N140" s="42">
        <f t="shared" si="141"/>
        <v>27</v>
      </c>
      <c r="O140" s="42">
        <f t="shared" si="141"/>
        <v>16.291799999999999</v>
      </c>
      <c r="P140" s="43">
        <f>P144+P147</f>
        <v>5963.0163563199994</v>
      </c>
      <c r="Q140" s="40"/>
      <c r="R140" s="40"/>
    </row>
    <row r="141" spans="1:18" x14ac:dyDescent="0.3">
      <c r="A141" s="85" t="s">
        <v>11</v>
      </c>
      <c r="B141" s="94"/>
      <c r="C141" s="94"/>
      <c r="D141" s="94"/>
      <c r="E141" s="94"/>
      <c r="F141" s="94"/>
      <c r="G141" s="94"/>
      <c r="H141" s="94"/>
      <c r="I141" s="94"/>
      <c r="J141" s="94"/>
      <c r="K141" s="94"/>
      <c r="L141" s="94"/>
      <c r="M141" s="94"/>
      <c r="N141" s="94"/>
      <c r="O141" s="94"/>
      <c r="P141" s="95"/>
      <c r="Q141" s="40"/>
      <c r="R141" s="40"/>
    </row>
    <row r="142" spans="1:18" ht="93.75" x14ac:dyDescent="0.3">
      <c r="A142" s="63" t="s">
        <v>45</v>
      </c>
      <c r="B142" s="42">
        <f>B143+B144</f>
        <v>370.8</v>
      </c>
      <c r="C142" s="42">
        <f>C143+C144</f>
        <v>4469.2758345599996</v>
      </c>
      <c r="D142" s="42">
        <f>D143+D144</f>
        <v>242.1</v>
      </c>
      <c r="E142" s="42">
        <f>E143+E144</f>
        <v>3356.5008683999999</v>
      </c>
      <c r="F142" s="42">
        <v>47</v>
      </c>
      <c r="G142" s="42">
        <f>G143+G144+0.1</f>
        <v>665.72468000000003</v>
      </c>
      <c r="H142" s="42">
        <f>H143+H144</f>
        <v>963.69999999999993</v>
      </c>
      <c r="I142" s="42">
        <f>I143+I144+0.1</f>
        <v>104.54981077999999</v>
      </c>
      <c r="J142" s="42">
        <f t="shared" ref="J142:K142" si="142">J143+J144</f>
        <v>1946.4</v>
      </c>
      <c r="K142" s="42">
        <f t="shared" si="142"/>
        <v>210.96017472</v>
      </c>
      <c r="L142" s="42">
        <f t="shared" si="47"/>
        <v>2910.1</v>
      </c>
      <c r="M142" s="42">
        <f>M143+M144-0.1</f>
        <v>544.35801198000001</v>
      </c>
      <c r="N142" s="42">
        <f>N143+N144</f>
        <v>36</v>
      </c>
      <c r="O142" s="42">
        <f>O143+O144</f>
        <v>21.722399999999997</v>
      </c>
      <c r="P142" s="43">
        <f>P143+P144</f>
        <v>9373.0917804400015</v>
      </c>
      <c r="Q142" s="40"/>
      <c r="R142" s="40"/>
    </row>
    <row r="143" spans="1:18" x14ac:dyDescent="0.3">
      <c r="A143" s="47" t="s">
        <v>81</v>
      </c>
      <c r="B143" s="42">
        <v>278.10000000000002</v>
      </c>
      <c r="C143" s="42">
        <f>B143*ТАРИФЫ!$F$16</f>
        <v>3311.3923199999999</v>
      </c>
      <c r="D143" s="42">
        <v>181.6</v>
      </c>
      <c r="E143" s="42">
        <f>D143*ТАРИФЫ!F4/1000</f>
        <v>2235.7255424</v>
      </c>
      <c r="F143" s="42">
        <v>33</v>
      </c>
      <c r="G143" s="42">
        <f>F143*ТАРИФЫ!F4/1000</f>
        <v>406.27171200000004</v>
      </c>
      <c r="H143" s="42">
        <v>722.8</v>
      </c>
      <c r="I143" s="42">
        <f>H143*ТАРИФЫ!$F$8/1000</f>
        <v>73.85208999999999</v>
      </c>
      <c r="J143" s="42">
        <v>1459.8</v>
      </c>
      <c r="K143" s="42">
        <f>J143*ТАРИФЫ!$F$8/1000</f>
        <v>149.15506500000001</v>
      </c>
      <c r="L143" s="42">
        <f>H143+J143</f>
        <v>2182.6</v>
      </c>
      <c r="M143" s="42">
        <f>L143*ТАРИФЫ!$F$12/1000</f>
        <v>373.02772948</v>
      </c>
      <c r="N143" s="42">
        <v>27</v>
      </c>
      <c r="O143" s="42">
        <f>N143*ТАРИФЫ!$E$20/1000</f>
        <v>16.291799999999999</v>
      </c>
      <c r="P143" s="43">
        <f>C143+E143+G143+I143+K143+M143+O143+0.1</f>
        <v>6565.8162588800005</v>
      </c>
      <c r="Q143" s="40"/>
      <c r="R143" s="40"/>
    </row>
    <row r="144" spans="1:18" x14ac:dyDescent="0.3">
      <c r="A144" s="47" t="s">
        <v>82</v>
      </c>
      <c r="B144" s="42">
        <v>92.7</v>
      </c>
      <c r="C144" s="42">
        <f>B144*ТАРИФЫ!$G$16</f>
        <v>1157.8835145600001</v>
      </c>
      <c r="D144" s="42">
        <v>60.5</v>
      </c>
      <c r="E144" s="42">
        <f>D144*ТАРИФЫ!G4/1000</f>
        <v>1120.7753259999999</v>
      </c>
      <c r="F144" s="42">
        <v>14</v>
      </c>
      <c r="G144" s="42">
        <f>F144*ТАРИФЫ!G4/1000</f>
        <v>259.35296799999998</v>
      </c>
      <c r="H144" s="42">
        <v>240.9</v>
      </c>
      <c r="I144" s="42">
        <f>H144*ТАРИФЫ!$G$8/1000</f>
        <v>30.59772078</v>
      </c>
      <c r="J144" s="42">
        <v>486.6</v>
      </c>
      <c r="K144" s="42">
        <f>J144*ТАРИФЫ!$G$8/1000</f>
        <v>61.805109720000004</v>
      </c>
      <c r="L144" s="42">
        <f>H144+J144</f>
        <v>727.5</v>
      </c>
      <c r="M144" s="42">
        <f>L144*ТАРИФЫ!$G$12/1000</f>
        <v>171.4302825</v>
      </c>
      <c r="N144" s="42">
        <v>9</v>
      </c>
      <c r="O144" s="42">
        <f>N144*ТАРИФЫ!$E$20/1000</f>
        <v>5.4305999999999992</v>
      </c>
      <c r="P144" s="43">
        <f>C144+E144+G144+I144+K144+M144+O144</f>
        <v>2807.2755215600005</v>
      </c>
      <c r="Q144" s="40"/>
      <c r="R144" s="40"/>
    </row>
    <row r="145" spans="1:18" ht="93.75" x14ac:dyDescent="0.3">
      <c r="A145" s="63" t="s">
        <v>66</v>
      </c>
      <c r="B145" s="42">
        <f>B146+B147</f>
        <v>164.8</v>
      </c>
      <c r="C145" s="42">
        <f>(B145/12*ТАРИФЫ!F16*9+B145/12*ТАРИФЫ!G16*3)</f>
        <v>1986.3448153600002</v>
      </c>
      <c r="D145" s="42">
        <f>D146+D147</f>
        <v>556.79999999999995</v>
      </c>
      <c r="E145" s="42">
        <f>E146+E147</f>
        <v>7719.8933568000011</v>
      </c>
      <c r="F145" s="42">
        <v>0.5</v>
      </c>
      <c r="G145" s="42">
        <f>G146+G147</f>
        <v>6.7770268000000007</v>
      </c>
      <c r="H145" s="42">
        <f>H146+H147</f>
        <v>8.4</v>
      </c>
      <c r="I145" s="42">
        <f t="shared" ref="I145:N145" si="143">I146+I147</f>
        <v>0.91043231999999996</v>
      </c>
      <c r="J145" s="42">
        <f t="shared" si="143"/>
        <v>537.6</v>
      </c>
      <c r="K145" s="42">
        <f t="shared" si="143"/>
        <v>58.267668479999998</v>
      </c>
      <c r="L145" s="42">
        <f t="shared" si="143"/>
        <v>546</v>
      </c>
      <c r="M145" s="42">
        <f t="shared" si="143"/>
        <v>102.15283260000001</v>
      </c>
      <c r="N145" s="42">
        <f t="shared" si="143"/>
        <v>72</v>
      </c>
      <c r="O145" s="42">
        <f>O146+O147+0.1</f>
        <v>43.544799999999995</v>
      </c>
      <c r="P145" s="43">
        <f t="shared" si="135"/>
        <v>9917.8909323600037</v>
      </c>
      <c r="Q145" s="40"/>
      <c r="R145" s="40"/>
    </row>
    <row r="146" spans="1:18" x14ac:dyDescent="0.3">
      <c r="A146" s="47" t="s">
        <v>81</v>
      </c>
      <c r="B146" s="42">
        <v>123.6</v>
      </c>
      <c r="C146" s="42">
        <f>B146*ТАРИФЫ!$F$16</f>
        <v>1471.7299199999998</v>
      </c>
      <c r="D146" s="42">
        <v>417.6</v>
      </c>
      <c r="E146" s="42">
        <f>D146*ТАРИФЫ!F4/1000</f>
        <v>5141.1838464000011</v>
      </c>
      <c r="F146" s="42">
        <v>0.4</v>
      </c>
      <c r="G146" s="42">
        <f>F146*ТАРИФЫ!F4/1000</f>
        <v>4.9245056000000007</v>
      </c>
      <c r="H146" s="42">
        <v>6.3</v>
      </c>
      <c r="I146" s="42">
        <f>H146*ТАРИФЫ!$F$8/1000</f>
        <v>0.64370249999999996</v>
      </c>
      <c r="J146" s="42">
        <v>403.2</v>
      </c>
      <c r="K146" s="42">
        <f>J146*ТАРИФЫ!$F$8/1000</f>
        <v>41.196959999999997</v>
      </c>
      <c r="L146" s="42">
        <f>H146+J146</f>
        <v>409.5</v>
      </c>
      <c r="M146" s="42">
        <f>L146*ТАРИФЫ!$F$12/1000</f>
        <v>69.987563100000003</v>
      </c>
      <c r="N146" s="42">
        <v>54</v>
      </c>
      <c r="O146" s="42">
        <f>N146*ТАРИФЫ!$E$20/1000</f>
        <v>32.583599999999997</v>
      </c>
      <c r="P146" s="43">
        <f>C146+E146+G146+I146+K146+M146+O146-0.1</f>
        <v>6762.1500976000007</v>
      </c>
      <c r="Q146" s="40"/>
      <c r="R146" s="40"/>
    </row>
    <row r="147" spans="1:18" ht="19.5" thickBot="1" x14ac:dyDescent="0.35">
      <c r="A147" s="50" t="s">
        <v>82</v>
      </c>
      <c r="B147" s="45">
        <v>41.2</v>
      </c>
      <c r="C147" s="45">
        <f>B147*ТАРИФЫ!$G$16</f>
        <v>514.61489535999999</v>
      </c>
      <c r="D147" s="45">
        <v>139.19999999999999</v>
      </c>
      <c r="E147" s="45">
        <f>D147*ТАРИФЫ!G4/1000</f>
        <v>2578.7095103999995</v>
      </c>
      <c r="F147" s="45">
        <v>0.1</v>
      </c>
      <c r="G147" s="45">
        <f>F147*ТАРИФЫ!G4/1000</f>
        <v>1.8525212000000002</v>
      </c>
      <c r="H147" s="45">
        <v>2.1</v>
      </c>
      <c r="I147" s="45">
        <f>H147*ТАРИФЫ!$G$8/1000</f>
        <v>0.26672982000000001</v>
      </c>
      <c r="J147" s="45">
        <v>134.4</v>
      </c>
      <c r="K147" s="45">
        <f>J147*ТАРИФЫ!$G$8/1000</f>
        <v>17.07070848</v>
      </c>
      <c r="L147" s="45">
        <f>H147+J147</f>
        <v>136.5</v>
      </c>
      <c r="M147" s="45">
        <f>L147*ТАРИФЫ!$G$12/1000</f>
        <v>32.165269500000001</v>
      </c>
      <c r="N147" s="45">
        <v>18</v>
      </c>
      <c r="O147" s="45">
        <f>N147*ТАРИФЫ!$E$20/1000</f>
        <v>10.861199999999998</v>
      </c>
      <c r="P147" s="46">
        <f>C147+E147+G147+I147+K147+M147+O147+0.2</f>
        <v>3155.740834759999</v>
      </c>
      <c r="Q147" s="40"/>
      <c r="R147" s="40"/>
    </row>
    <row r="148" spans="1:18" ht="22.5" customHeight="1" thickBot="1" x14ac:dyDescent="0.35">
      <c r="A148" s="82" t="s">
        <v>13</v>
      </c>
      <c r="B148" s="83"/>
      <c r="C148" s="83"/>
      <c r="D148" s="83"/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83"/>
      <c r="P148" s="84"/>
      <c r="Q148" s="40"/>
      <c r="R148" s="40"/>
    </row>
    <row r="149" spans="1:18" ht="93.75" x14ac:dyDescent="0.3">
      <c r="A149" s="64" t="s">
        <v>46</v>
      </c>
      <c r="B149" s="38">
        <v>4.0999999999999996</v>
      </c>
      <c r="C149" s="38">
        <f>C150+C151</f>
        <v>49.402972800000001</v>
      </c>
      <c r="D149" s="38">
        <v>48</v>
      </c>
      <c r="E149" s="38">
        <f>E150+E151</f>
        <v>665.50804800000003</v>
      </c>
      <c r="F149" s="38">
        <f>F150+F151</f>
        <v>7</v>
      </c>
      <c r="G149" s="38">
        <f>G150+G151-0.1</f>
        <v>97.263954400000017</v>
      </c>
      <c r="H149" s="38">
        <v>11.6</v>
      </c>
      <c r="I149" s="38">
        <f>I150+I151</f>
        <v>1.2572636799999999</v>
      </c>
      <c r="J149" s="38">
        <v>15.6</v>
      </c>
      <c r="K149" s="38">
        <f>K150+K151</f>
        <v>1.6908028800000001</v>
      </c>
      <c r="L149" s="38">
        <f>H149+J149</f>
        <v>27.2</v>
      </c>
      <c r="M149" s="38">
        <f>M150+M151</f>
        <v>5.0889323199999996</v>
      </c>
      <c r="N149" s="38">
        <v>10.199999999999999</v>
      </c>
      <c r="O149" s="38">
        <f>O150+O151-0.1</f>
        <v>6.0546800000000003</v>
      </c>
      <c r="P149" s="39">
        <f>C149+E149+G149+I149+K149+M149+O149+0.1</f>
        <v>826.3666540800001</v>
      </c>
      <c r="Q149" s="40"/>
      <c r="R149" s="40"/>
    </row>
    <row r="150" spans="1:18" x14ac:dyDescent="0.3">
      <c r="A150" s="47" t="s">
        <v>81</v>
      </c>
      <c r="B150" s="42">
        <v>3.1</v>
      </c>
      <c r="C150" s="42">
        <f>B150*ТАРИФЫ!$F$16</f>
        <v>36.912320000000001</v>
      </c>
      <c r="D150" s="42">
        <v>36</v>
      </c>
      <c r="E150" s="42">
        <f>D150*ТАРИФЫ!F4/1000</f>
        <v>443.20550400000002</v>
      </c>
      <c r="F150" s="42">
        <v>5.2</v>
      </c>
      <c r="G150" s="42">
        <f>F150*ТАРИФЫ!F4/1000</f>
        <v>64.018572800000015</v>
      </c>
      <c r="H150" s="42">
        <v>8.6999999999999993</v>
      </c>
      <c r="I150" s="42">
        <f>H150*ТАРИФЫ!$F$8/1000</f>
        <v>0.88892249999999995</v>
      </c>
      <c r="J150" s="42">
        <v>11.7</v>
      </c>
      <c r="K150" s="42">
        <f>J150*ТАРИФЫ!$F$8/1000</f>
        <v>1.1954475</v>
      </c>
      <c r="L150" s="42">
        <f t="shared" ref="L150" si="144">H150+J150</f>
        <v>20.399999999999999</v>
      </c>
      <c r="M150" s="42">
        <f>L150*ТАРИФЫ!$F$12/1000</f>
        <v>3.4865599199999995</v>
      </c>
      <c r="N150" s="42">
        <v>7.7</v>
      </c>
      <c r="O150" s="42">
        <f>N150*ТАРИФЫ!$E$20/1000</f>
        <v>4.6461800000000002</v>
      </c>
      <c r="P150" s="43">
        <f>C150+E150+G150+I150+K150+M150+O150-0.1</f>
        <v>554.25350672000002</v>
      </c>
      <c r="Q150" s="40"/>
      <c r="R150" s="40"/>
    </row>
    <row r="151" spans="1:18" ht="19.5" thickBot="1" x14ac:dyDescent="0.35">
      <c r="A151" s="50" t="s">
        <v>82</v>
      </c>
      <c r="B151" s="45">
        <v>1</v>
      </c>
      <c r="C151" s="45">
        <f>B151*ТАРИФЫ!$G$16</f>
        <v>12.490652799999999</v>
      </c>
      <c r="D151" s="45">
        <v>12</v>
      </c>
      <c r="E151" s="45">
        <f>D151*ТАРИФЫ!G4/1000</f>
        <v>222.30254399999998</v>
      </c>
      <c r="F151" s="45">
        <v>1.8</v>
      </c>
      <c r="G151" s="45">
        <f>F151*ТАРИФЫ!G4/1000</f>
        <v>33.345381600000003</v>
      </c>
      <c r="H151" s="45">
        <v>2.9</v>
      </c>
      <c r="I151" s="45">
        <f>H151*ТАРИФЫ!$G$8/1000</f>
        <v>0.36834117999999999</v>
      </c>
      <c r="J151" s="45">
        <v>3.9</v>
      </c>
      <c r="K151" s="45">
        <f>J151*ТАРИФЫ!$G$8/1000</f>
        <v>0.49535538000000001</v>
      </c>
      <c r="L151" s="45">
        <f>H151+J151</f>
        <v>6.8</v>
      </c>
      <c r="M151" s="45">
        <f>L151*ТАРИФЫ!$G$12/1000</f>
        <v>1.6023723999999999</v>
      </c>
      <c r="N151" s="45">
        <v>2.5</v>
      </c>
      <c r="O151" s="45">
        <f>N151*ТАРИФЫ!$E$20/1000</f>
        <v>1.5085</v>
      </c>
      <c r="P151" s="46">
        <f t="shared" si="135"/>
        <v>272.11314735999997</v>
      </c>
      <c r="Q151" s="40"/>
      <c r="R151" s="40"/>
    </row>
    <row r="152" spans="1:18" ht="19.5" thickBot="1" x14ac:dyDescent="0.35">
      <c r="A152" s="82" t="s">
        <v>14</v>
      </c>
      <c r="B152" s="83"/>
      <c r="C152" s="83"/>
      <c r="D152" s="83"/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83"/>
      <c r="P152" s="84"/>
      <c r="Q152" s="40"/>
      <c r="R152" s="40"/>
    </row>
    <row r="153" spans="1:18" ht="93.75" x14ac:dyDescent="0.3">
      <c r="A153" s="64" t="s">
        <v>65</v>
      </c>
      <c r="B153" s="38">
        <f>B157+B160+B163+B166</f>
        <v>629.69999999999993</v>
      </c>
      <c r="C153" s="38">
        <f>C154+C155</f>
        <v>7589.9993107199998</v>
      </c>
      <c r="D153" s="38">
        <v>0</v>
      </c>
      <c r="E153" s="38">
        <f t="shared" ref="E153:O153" si="145">E157+E160+E163+E166</f>
        <v>0</v>
      </c>
      <c r="F153" s="38">
        <f t="shared" si="145"/>
        <v>0</v>
      </c>
      <c r="G153" s="38">
        <v>0</v>
      </c>
      <c r="H153" s="38">
        <f t="shared" si="145"/>
        <v>0</v>
      </c>
      <c r="I153" s="38">
        <f t="shared" si="145"/>
        <v>0</v>
      </c>
      <c r="J153" s="38">
        <f t="shared" si="145"/>
        <v>0</v>
      </c>
      <c r="K153" s="38">
        <v>0</v>
      </c>
      <c r="L153" s="38">
        <v>0</v>
      </c>
      <c r="M153" s="38">
        <f t="shared" si="145"/>
        <v>0</v>
      </c>
      <c r="N153" s="38">
        <f t="shared" si="145"/>
        <v>0</v>
      </c>
      <c r="O153" s="38">
        <f t="shared" si="145"/>
        <v>0</v>
      </c>
      <c r="P153" s="39">
        <f>P157+P160+P163+P166+0.1</f>
        <v>7590.0430696799995</v>
      </c>
      <c r="Q153" s="40"/>
      <c r="R153" s="40"/>
    </row>
    <row r="154" spans="1:18" x14ac:dyDescent="0.3">
      <c r="A154" s="47" t="s">
        <v>81</v>
      </c>
      <c r="B154" s="42">
        <f>B158+B161+B164+B167</f>
        <v>472.3</v>
      </c>
      <c r="C154" s="42">
        <f>C158+C161+C164+C167+0.1</f>
        <v>5623.8705600000003</v>
      </c>
      <c r="D154" s="42">
        <v>0</v>
      </c>
      <c r="E154" s="42">
        <f t="shared" ref="E154:O154" si="146">E158+E161+E164+E167</f>
        <v>0</v>
      </c>
      <c r="F154" s="42">
        <f t="shared" si="146"/>
        <v>0</v>
      </c>
      <c r="G154" s="42">
        <v>0</v>
      </c>
      <c r="H154" s="42">
        <f t="shared" si="146"/>
        <v>0</v>
      </c>
      <c r="I154" s="42">
        <f t="shared" si="146"/>
        <v>0</v>
      </c>
      <c r="J154" s="42">
        <f t="shared" si="146"/>
        <v>0</v>
      </c>
      <c r="K154" s="42">
        <v>0</v>
      </c>
      <c r="L154" s="42">
        <v>0</v>
      </c>
      <c r="M154" s="42">
        <f t="shared" si="146"/>
        <v>0</v>
      </c>
      <c r="N154" s="42">
        <f t="shared" si="146"/>
        <v>0</v>
      </c>
      <c r="O154" s="42">
        <f t="shared" si="146"/>
        <v>0</v>
      </c>
      <c r="P154" s="43">
        <f>P158+P161+P164+P167+0.1</f>
        <v>5623.8705600000003</v>
      </c>
      <c r="Q154" s="40"/>
      <c r="R154" s="40"/>
    </row>
    <row r="155" spans="1:18" x14ac:dyDescent="0.3">
      <c r="A155" s="47" t="s">
        <v>82</v>
      </c>
      <c r="B155" s="42">
        <f>B159+B162+B165+B168</f>
        <v>157.4</v>
      </c>
      <c r="C155" s="42">
        <f>C159+C162+C165+C168+0.1</f>
        <v>1966.1287507199997</v>
      </c>
      <c r="D155" s="42">
        <v>0</v>
      </c>
      <c r="E155" s="42">
        <f t="shared" ref="E155:O155" si="147">E159+E162+E165+E168</f>
        <v>0</v>
      </c>
      <c r="F155" s="42">
        <f t="shared" si="147"/>
        <v>0</v>
      </c>
      <c r="G155" s="42">
        <v>0</v>
      </c>
      <c r="H155" s="42">
        <f t="shared" si="147"/>
        <v>0</v>
      </c>
      <c r="I155" s="42">
        <f t="shared" si="147"/>
        <v>0</v>
      </c>
      <c r="J155" s="42">
        <f t="shared" si="147"/>
        <v>0</v>
      </c>
      <c r="K155" s="42">
        <v>0</v>
      </c>
      <c r="L155" s="42">
        <v>0</v>
      </c>
      <c r="M155" s="42">
        <f t="shared" si="147"/>
        <v>0</v>
      </c>
      <c r="N155" s="42">
        <f t="shared" si="147"/>
        <v>0</v>
      </c>
      <c r="O155" s="42">
        <f t="shared" si="147"/>
        <v>0</v>
      </c>
      <c r="P155" s="43">
        <f>P159+P162+P165+P168+0.1</f>
        <v>1966.1287507199997</v>
      </c>
      <c r="Q155" s="40"/>
      <c r="R155" s="40"/>
    </row>
    <row r="156" spans="1:18" x14ac:dyDescent="0.3">
      <c r="A156" s="85" t="s">
        <v>11</v>
      </c>
      <c r="B156" s="94"/>
      <c r="C156" s="94"/>
      <c r="D156" s="94"/>
      <c r="E156" s="94"/>
      <c r="F156" s="94"/>
      <c r="G156" s="94"/>
      <c r="H156" s="94"/>
      <c r="I156" s="94"/>
      <c r="J156" s="94"/>
      <c r="K156" s="94"/>
      <c r="L156" s="94"/>
      <c r="M156" s="94"/>
      <c r="N156" s="94"/>
      <c r="O156" s="94"/>
      <c r="P156" s="95"/>
      <c r="Q156" s="40"/>
      <c r="R156" s="40"/>
    </row>
    <row r="157" spans="1:18" s="26" customFormat="1" x14ac:dyDescent="0.3">
      <c r="A157" s="25" t="s">
        <v>18</v>
      </c>
      <c r="B157" s="42">
        <v>440.2</v>
      </c>
      <c r="C157" s="42">
        <f>(B157/12*ТАРИФЫ!F16*9+B157/12*ТАРИФЫ!G16*3)</f>
        <v>5305.7584206399997</v>
      </c>
      <c r="D157" s="42">
        <v>0</v>
      </c>
      <c r="E157" s="42">
        <v>0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42">
        <v>0</v>
      </c>
      <c r="L157" s="42">
        <v>0</v>
      </c>
      <c r="M157" s="42">
        <v>0</v>
      </c>
      <c r="N157" s="42">
        <v>0</v>
      </c>
      <c r="O157" s="42">
        <v>0</v>
      </c>
      <c r="P157" s="43">
        <f t="shared" si="135"/>
        <v>5305.7584206399997</v>
      </c>
      <c r="Q157" s="40"/>
      <c r="R157" s="40"/>
    </row>
    <row r="158" spans="1:18" s="26" customFormat="1" x14ac:dyDescent="0.3">
      <c r="A158" s="47" t="s">
        <v>81</v>
      </c>
      <c r="B158" s="42">
        <v>330.2</v>
      </c>
      <c r="C158" s="42">
        <f>B158*ТАРИФЫ!$F$16</f>
        <v>3931.7574399999999</v>
      </c>
      <c r="D158" s="42">
        <v>0</v>
      </c>
      <c r="E158" s="42">
        <v>0</v>
      </c>
      <c r="F158" s="42">
        <v>0</v>
      </c>
      <c r="G158" s="42">
        <v>0</v>
      </c>
      <c r="H158" s="42">
        <v>0</v>
      </c>
      <c r="I158" s="42">
        <v>0</v>
      </c>
      <c r="J158" s="42">
        <v>0</v>
      </c>
      <c r="K158" s="42">
        <v>0</v>
      </c>
      <c r="L158" s="42">
        <v>0</v>
      </c>
      <c r="M158" s="42">
        <v>0</v>
      </c>
      <c r="N158" s="42">
        <v>0</v>
      </c>
      <c r="O158" s="42">
        <v>0</v>
      </c>
      <c r="P158" s="43">
        <f t="shared" si="135"/>
        <v>3931.7574399999999</v>
      </c>
      <c r="Q158" s="40"/>
      <c r="R158" s="40"/>
    </row>
    <row r="159" spans="1:18" s="26" customFormat="1" x14ac:dyDescent="0.3">
      <c r="A159" s="47" t="s">
        <v>82</v>
      </c>
      <c r="B159" s="42">
        <v>110</v>
      </c>
      <c r="C159" s="42">
        <f>B159*ТАРИФЫ!$G$16</f>
        <v>1373.971808</v>
      </c>
      <c r="D159" s="42">
        <v>0</v>
      </c>
      <c r="E159" s="42">
        <v>0</v>
      </c>
      <c r="F159" s="42">
        <v>0</v>
      </c>
      <c r="G159" s="42">
        <v>0</v>
      </c>
      <c r="H159" s="42">
        <v>0</v>
      </c>
      <c r="I159" s="42">
        <v>0</v>
      </c>
      <c r="J159" s="42">
        <v>0</v>
      </c>
      <c r="K159" s="42">
        <v>0</v>
      </c>
      <c r="L159" s="42">
        <v>0</v>
      </c>
      <c r="M159" s="42">
        <v>0</v>
      </c>
      <c r="N159" s="42">
        <v>0</v>
      </c>
      <c r="O159" s="42">
        <v>0</v>
      </c>
      <c r="P159" s="43">
        <f t="shared" si="135"/>
        <v>1373.971808</v>
      </c>
      <c r="Q159" s="40"/>
      <c r="R159" s="40"/>
    </row>
    <row r="160" spans="1:18" x14ac:dyDescent="0.3">
      <c r="A160" s="63" t="s">
        <v>32</v>
      </c>
      <c r="B160" s="42">
        <v>31.7</v>
      </c>
      <c r="C160" s="42">
        <f>(B160/12*ТАРИФЫ!F16*9+B160/12*ТАРИФЫ!G16*3)</f>
        <v>382.08210343999997</v>
      </c>
      <c r="D160" s="42">
        <v>0</v>
      </c>
      <c r="E160" s="42">
        <v>0</v>
      </c>
      <c r="F160" s="42">
        <v>0</v>
      </c>
      <c r="G160" s="42">
        <v>0</v>
      </c>
      <c r="H160" s="42">
        <v>0</v>
      </c>
      <c r="I160" s="42">
        <v>0</v>
      </c>
      <c r="J160" s="42">
        <v>0</v>
      </c>
      <c r="K160" s="42">
        <v>0</v>
      </c>
      <c r="L160" s="42">
        <v>0</v>
      </c>
      <c r="M160" s="42">
        <v>0</v>
      </c>
      <c r="N160" s="42">
        <v>0</v>
      </c>
      <c r="O160" s="42">
        <v>0</v>
      </c>
      <c r="P160" s="43">
        <f t="shared" si="135"/>
        <v>382.08210343999997</v>
      </c>
      <c r="Q160" s="40"/>
      <c r="R160" s="40"/>
    </row>
    <row r="161" spans="1:18" x14ac:dyDescent="0.3">
      <c r="A161" s="47" t="s">
        <v>81</v>
      </c>
      <c r="B161" s="42">
        <v>23.8</v>
      </c>
      <c r="C161" s="42">
        <f>B161*ТАРИФЫ!$F$16</f>
        <v>283.39136000000002</v>
      </c>
      <c r="D161" s="42">
        <v>0</v>
      </c>
      <c r="E161" s="42">
        <v>0</v>
      </c>
      <c r="F161" s="42">
        <v>0</v>
      </c>
      <c r="G161" s="42">
        <v>0</v>
      </c>
      <c r="H161" s="42">
        <v>0</v>
      </c>
      <c r="I161" s="42">
        <v>0</v>
      </c>
      <c r="J161" s="42">
        <v>0</v>
      </c>
      <c r="K161" s="42">
        <v>0</v>
      </c>
      <c r="L161" s="42">
        <v>0</v>
      </c>
      <c r="M161" s="42">
        <v>0</v>
      </c>
      <c r="N161" s="42">
        <v>0</v>
      </c>
      <c r="O161" s="42">
        <v>0</v>
      </c>
      <c r="P161" s="43">
        <f t="shared" si="135"/>
        <v>283.39136000000002</v>
      </c>
      <c r="Q161" s="40"/>
      <c r="R161" s="40"/>
    </row>
    <row r="162" spans="1:18" x14ac:dyDescent="0.3">
      <c r="A162" s="47" t="s">
        <v>82</v>
      </c>
      <c r="B162" s="42">
        <v>7.9</v>
      </c>
      <c r="C162" s="42">
        <f>B162*ТАРИФЫ!$G$16</f>
        <v>98.676157119999999</v>
      </c>
      <c r="D162" s="42">
        <v>0</v>
      </c>
      <c r="E162" s="42">
        <v>0</v>
      </c>
      <c r="F162" s="42">
        <v>0</v>
      </c>
      <c r="G162" s="42">
        <v>0</v>
      </c>
      <c r="H162" s="42">
        <v>0</v>
      </c>
      <c r="I162" s="42">
        <v>0</v>
      </c>
      <c r="J162" s="42">
        <v>0</v>
      </c>
      <c r="K162" s="42">
        <v>0</v>
      </c>
      <c r="L162" s="42">
        <v>0</v>
      </c>
      <c r="M162" s="42">
        <v>0</v>
      </c>
      <c r="N162" s="42">
        <v>0</v>
      </c>
      <c r="O162" s="42">
        <v>0</v>
      </c>
      <c r="P162" s="43">
        <f t="shared" si="135"/>
        <v>98.676157119999999</v>
      </c>
      <c r="Q162" s="40"/>
      <c r="R162" s="40"/>
    </row>
    <row r="163" spans="1:18" x14ac:dyDescent="0.3">
      <c r="A163" s="63" t="s">
        <v>15</v>
      </c>
      <c r="B163" s="42">
        <v>148.4</v>
      </c>
      <c r="C163" s="42">
        <f>(B163/12*ТАРИФЫ!F16*9+B163/12*ТАРИФЫ!G16*3)</f>
        <v>1788.6745788799999</v>
      </c>
      <c r="D163" s="42">
        <v>0</v>
      </c>
      <c r="E163" s="42">
        <v>0</v>
      </c>
      <c r="F163" s="42">
        <v>0</v>
      </c>
      <c r="G163" s="42">
        <v>0</v>
      </c>
      <c r="H163" s="42">
        <v>0</v>
      </c>
      <c r="I163" s="42">
        <v>0</v>
      </c>
      <c r="J163" s="42">
        <v>0</v>
      </c>
      <c r="K163" s="42">
        <v>0</v>
      </c>
      <c r="L163" s="42">
        <v>0</v>
      </c>
      <c r="M163" s="42">
        <v>0</v>
      </c>
      <c r="N163" s="42">
        <v>0</v>
      </c>
      <c r="O163" s="42">
        <v>0</v>
      </c>
      <c r="P163" s="43">
        <f t="shared" si="135"/>
        <v>1788.6745788799999</v>
      </c>
      <c r="Q163" s="40"/>
      <c r="R163" s="40"/>
    </row>
    <row r="164" spans="1:18" x14ac:dyDescent="0.3">
      <c r="A164" s="47" t="s">
        <v>81</v>
      </c>
      <c r="B164" s="42">
        <v>111.3</v>
      </c>
      <c r="C164" s="42">
        <f>B164*ТАРИФЫ!$F$16</f>
        <v>1325.27136</v>
      </c>
      <c r="D164" s="42">
        <v>0</v>
      </c>
      <c r="E164" s="42">
        <v>0</v>
      </c>
      <c r="F164" s="42">
        <v>0</v>
      </c>
      <c r="G164" s="42">
        <v>0</v>
      </c>
      <c r="H164" s="42">
        <v>0</v>
      </c>
      <c r="I164" s="42">
        <v>0</v>
      </c>
      <c r="J164" s="42">
        <v>0</v>
      </c>
      <c r="K164" s="42">
        <v>0</v>
      </c>
      <c r="L164" s="42">
        <v>0</v>
      </c>
      <c r="M164" s="42">
        <v>0</v>
      </c>
      <c r="N164" s="42">
        <v>0</v>
      </c>
      <c r="O164" s="42">
        <v>0</v>
      </c>
      <c r="P164" s="43">
        <f t="shared" si="135"/>
        <v>1325.27136</v>
      </c>
      <c r="Q164" s="40"/>
      <c r="R164" s="40"/>
    </row>
    <row r="165" spans="1:18" x14ac:dyDescent="0.3">
      <c r="A165" s="47" t="s">
        <v>82</v>
      </c>
      <c r="B165" s="42">
        <v>37.1</v>
      </c>
      <c r="C165" s="42">
        <f>B165*ТАРИФЫ!$G$16</f>
        <v>463.40321888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2">
        <v>0</v>
      </c>
      <c r="P165" s="43">
        <f t="shared" si="135"/>
        <v>463.40321888</v>
      </c>
      <c r="Q165" s="40"/>
      <c r="R165" s="40"/>
    </row>
    <row r="166" spans="1:18" x14ac:dyDescent="0.3">
      <c r="A166" s="63" t="s">
        <v>16</v>
      </c>
      <c r="B166" s="42">
        <v>9.4</v>
      </c>
      <c r="C166" s="42">
        <f>C167+C168+0.1</f>
        <v>113.42796671999999</v>
      </c>
      <c r="D166" s="42">
        <v>0</v>
      </c>
      <c r="E166" s="42">
        <v>0</v>
      </c>
      <c r="F166" s="42">
        <v>0</v>
      </c>
      <c r="G166" s="42">
        <v>0</v>
      </c>
      <c r="H166" s="42">
        <v>0</v>
      </c>
      <c r="I166" s="42">
        <v>0</v>
      </c>
      <c r="J166" s="42">
        <v>0</v>
      </c>
      <c r="K166" s="42">
        <v>0</v>
      </c>
      <c r="L166" s="42">
        <v>0</v>
      </c>
      <c r="M166" s="42">
        <v>0</v>
      </c>
      <c r="N166" s="42">
        <v>0</v>
      </c>
      <c r="O166" s="42">
        <v>0</v>
      </c>
      <c r="P166" s="43">
        <f t="shared" si="135"/>
        <v>113.42796671999999</v>
      </c>
      <c r="Q166" s="40"/>
      <c r="R166" s="40"/>
    </row>
    <row r="167" spans="1:18" x14ac:dyDescent="0.3">
      <c r="A167" s="47" t="s">
        <v>81</v>
      </c>
      <c r="B167" s="42">
        <v>7</v>
      </c>
      <c r="C167" s="42">
        <f>B167*ТАРИФЫ!$F$16</f>
        <v>83.350399999999993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2">
        <v>0</v>
      </c>
      <c r="P167" s="43">
        <f t="shared" si="135"/>
        <v>83.350399999999993</v>
      </c>
      <c r="Q167" s="40"/>
      <c r="R167" s="40"/>
    </row>
    <row r="168" spans="1:18" ht="19.5" thickBot="1" x14ac:dyDescent="0.35">
      <c r="A168" s="50" t="s">
        <v>82</v>
      </c>
      <c r="B168" s="45">
        <v>2.4</v>
      </c>
      <c r="C168" s="45">
        <f>B168*ТАРИФЫ!$G$16</f>
        <v>29.977566719999999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5">
        <v>0</v>
      </c>
      <c r="P168" s="46">
        <f t="shared" si="135"/>
        <v>29.977566719999999</v>
      </c>
      <c r="Q168" s="40"/>
      <c r="R168" s="40"/>
    </row>
    <row r="169" spans="1:18" ht="93.75" x14ac:dyDescent="0.3">
      <c r="A169" s="64" t="s">
        <v>64</v>
      </c>
      <c r="B169" s="38">
        <v>14.17</v>
      </c>
      <c r="C169" s="38">
        <f>C170+C171</f>
        <v>171.18267007999998</v>
      </c>
      <c r="D169" s="38">
        <f>166.8+403+46+310.7</f>
        <v>926.5</v>
      </c>
      <c r="E169" s="38">
        <f>E170+E171</f>
        <v>12845.699999999999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8">
        <v>0</v>
      </c>
      <c r="L169" s="38">
        <f t="shared" ref="L169:L170" si="148">H169+J169</f>
        <v>0</v>
      </c>
      <c r="M169" s="38">
        <v>0</v>
      </c>
      <c r="N169" s="38">
        <v>0</v>
      </c>
      <c r="O169" s="38">
        <v>0</v>
      </c>
      <c r="P169" s="39">
        <f t="shared" si="135"/>
        <v>13016.882670079998</v>
      </c>
      <c r="Q169" s="40"/>
      <c r="R169" s="40"/>
    </row>
    <row r="170" spans="1:18" x14ac:dyDescent="0.3">
      <c r="A170" s="47" t="s">
        <v>81</v>
      </c>
      <c r="B170" s="42">
        <v>10.6</v>
      </c>
      <c r="C170" s="42">
        <f>B170*ТАРИФЫ!$F$16</f>
        <v>126.21632</v>
      </c>
      <c r="D170" s="42">
        <v>694.9</v>
      </c>
      <c r="E170" s="42">
        <v>9634.2999999999993</v>
      </c>
      <c r="F170" s="42">
        <v>0</v>
      </c>
      <c r="G170" s="42">
        <v>0</v>
      </c>
      <c r="H170" s="42">
        <v>0</v>
      </c>
      <c r="I170" s="42">
        <v>0</v>
      </c>
      <c r="J170" s="42">
        <v>0</v>
      </c>
      <c r="K170" s="42">
        <v>0</v>
      </c>
      <c r="L170" s="42">
        <f t="shared" si="148"/>
        <v>0</v>
      </c>
      <c r="M170" s="42">
        <v>0</v>
      </c>
      <c r="N170" s="42">
        <v>0</v>
      </c>
      <c r="O170" s="42">
        <v>0</v>
      </c>
      <c r="P170" s="43">
        <f>C170+E170+G170+I170+K170+M170+O170</f>
        <v>9760.5163199999988</v>
      </c>
      <c r="Q170" s="40"/>
      <c r="R170" s="40"/>
    </row>
    <row r="171" spans="1:18" ht="19.5" thickBot="1" x14ac:dyDescent="0.35">
      <c r="A171" s="50" t="s">
        <v>82</v>
      </c>
      <c r="B171" s="45">
        <v>3.6</v>
      </c>
      <c r="C171" s="45">
        <f>B171*ТАРИФЫ!$G$16</f>
        <v>44.966350079999998</v>
      </c>
      <c r="D171" s="45">
        <v>231.6</v>
      </c>
      <c r="E171" s="45">
        <v>3211.4</v>
      </c>
      <c r="F171" s="45">
        <v>0</v>
      </c>
      <c r="G171" s="45">
        <v>0</v>
      </c>
      <c r="H171" s="45">
        <v>0</v>
      </c>
      <c r="I171" s="45">
        <v>0</v>
      </c>
      <c r="J171" s="45">
        <v>0</v>
      </c>
      <c r="K171" s="45">
        <v>0</v>
      </c>
      <c r="L171" s="45">
        <v>0</v>
      </c>
      <c r="M171" s="45">
        <v>0</v>
      </c>
      <c r="N171" s="45">
        <v>0</v>
      </c>
      <c r="O171" s="45">
        <v>0</v>
      </c>
      <c r="P171" s="46">
        <f>C171+E171+G171+I171+K171+M171+O171</f>
        <v>3256.3663500800003</v>
      </c>
      <c r="Q171" s="40"/>
      <c r="R171" s="40"/>
    </row>
    <row r="172" spans="1:18" x14ac:dyDescent="0.3">
      <c r="A172" s="58" t="s">
        <v>19</v>
      </c>
      <c r="B172" s="57">
        <f>B173+B174</f>
        <v>2104.5500000000002</v>
      </c>
      <c r="C172" s="57">
        <f>C173+C174</f>
        <v>25369.465476959995</v>
      </c>
      <c r="D172" s="57">
        <f t="shared" ref="D172:L172" si="149">D173+D174</f>
        <v>8941.82</v>
      </c>
      <c r="E172" s="57">
        <f>E173+E174</f>
        <v>177479.24918518</v>
      </c>
      <c r="F172" s="57">
        <f t="shared" si="149"/>
        <v>518.79999999999995</v>
      </c>
      <c r="G172" s="57">
        <f t="shared" si="149"/>
        <v>9449.7966536399981</v>
      </c>
      <c r="H172" s="57">
        <f t="shared" si="149"/>
        <v>8989.8999999999978</v>
      </c>
      <c r="I172" s="57">
        <f>I173+I174</f>
        <v>1092.7503047</v>
      </c>
      <c r="J172" s="57">
        <f t="shared" si="149"/>
        <v>19397.300000000003</v>
      </c>
      <c r="K172" s="57">
        <f t="shared" si="149"/>
        <v>2414.9837678000004</v>
      </c>
      <c r="L172" s="57">
        <f t="shared" si="149"/>
        <v>28387.200000000004</v>
      </c>
      <c r="M172" s="57">
        <f>M173+M174-0.1</f>
        <v>4551.7677566399998</v>
      </c>
      <c r="N172" s="57">
        <f>N173+N174</f>
        <v>1228.2</v>
      </c>
      <c r="O172" s="57">
        <f>O173+O174</f>
        <v>740.89587999999981</v>
      </c>
      <c r="P172" s="57">
        <f>P173+P174</f>
        <v>221099.00902492</v>
      </c>
      <c r="Q172" s="40"/>
    </row>
    <row r="173" spans="1:18" x14ac:dyDescent="0.3">
      <c r="A173" s="59" t="s">
        <v>81</v>
      </c>
      <c r="B173" s="42">
        <f>B17+B20+B83+B109+B113+B150+B154+B170</f>
        <v>1572.6</v>
      </c>
      <c r="C173" s="42">
        <f>C17+C20+C83+C109+C113+C150+C154+C170</f>
        <v>18725.162719999997</v>
      </c>
      <c r="D173" s="42">
        <f t="shared" ref="D173:N173" si="150">D17+D20+D83+D109+D113+D150+D154+D170</f>
        <v>6587.66</v>
      </c>
      <c r="E173" s="42">
        <f>E17+E20+E83+E109+E113+E150+E154+E170</f>
        <v>117809.22341611999</v>
      </c>
      <c r="F173" s="42">
        <f t="shared" si="150"/>
        <v>383.9</v>
      </c>
      <c r="G173" s="42">
        <f>G17+G20+G83+G109+G113+G150+G154+G170</f>
        <v>6159.3448611199983</v>
      </c>
      <c r="H173" s="42">
        <f>H17+H20+H83+H109+H113+H150+H154+H170</f>
        <v>6743.3999999999987</v>
      </c>
      <c r="I173" s="42">
        <f>I17+I20+I83+I109+I113+I150+I154+I170-0</f>
        <v>761.77526683999997</v>
      </c>
      <c r="J173" s="42">
        <f t="shared" si="150"/>
        <v>14789.600000000002</v>
      </c>
      <c r="K173" s="42">
        <f>K17+K20+K83+K109+K113+K150+K154+K170+0.1</f>
        <v>1719.4060084000002</v>
      </c>
      <c r="L173" s="42">
        <f t="shared" si="150"/>
        <v>21533.000000000004</v>
      </c>
      <c r="M173" s="42">
        <f>M17+M20+M83+M109+M113+M150+M154+M170+0.1</f>
        <v>3171.8383880800002</v>
      </c>
      <c r="N173" s="42">
        <f t="shared" si="150"/>
        <v>923.10000000000014</v>
      </c>
      <c r="O173" s="42">
        <f>O17+O20+O83+O109+O113+O150+O154+O170-0.1</f>
        <v>556.8985399999998</v>
      </c>
      <c r="P173" s="42">
        <f>P17+P20+P83+P109+P113+P150+P154+P170</f>
        <v>148903.64920056</v>
      </c>
      <c r="Q173" s="40"/>
      <c r="R173" s="40"/>
    </row>
    <row r="174" spans="1:18" x14ac:dyDescent="0.3">
      <c r="A174" s="59" t="s">
        <v>82</v>
      </c>
      <c r="B174" s="42">
        <f>B18+B21+B84+B110+B114+B151+B155+B171</f>
        <v>531.95000000000005</v>
      </c>
      <c r="C174" s="42">
        <f>C18+C21+C84+C110+C114+C151+C155+C171</f>
        <v>6644.302756959999</v>
      </c>
      <c r="D174" s="42">
        <f t="shared" ref="D174:N174" si="151">D18+D21+D84+D110+D114+D151+D155+D171</f>
        <v>2354.16</v>
      </c>
      <c r="E174" s="42">
        <f>E18+E21+E84+E110+E114+E151+E155+E171-0.1</f>
        <v>59670.025769059997</v>
      </c>
      <c r="F174" s="42">
        <f t="shared" si="151"/>
        <v>134.9</v>
      </c>
      <c r="G174" s="42">
        <f>G18+G21+G84+G110+G114+G151+G155+G171-0.1</f>
        <v>3290.4517925199998</v>
      </c>
      <c r="H174" s="42">
        <f>H18+H21+H84+H110+H114+H151+H155+H171</f>
        <v>2246.5</v>
      </c>
      <c r="I174" s="42">
        <f>I18+I21+I84+I110+I114+I151+I155+I171+0.1</f>
        <v>330.97503786000004</v>
      </c>
      <c r="J174" s="42">
        <f t="shared" si="151"/>
        <v>4607.7</v>
      </c>
      <c r="K174" s="42">
        <f>K18+K21+K84+K110+K114+K151+K155+K171</f>
        <v>695.57775939999988</v>
      </c>
      <c r="L174" s="42">
        <f t="shared" si="151"/>
        <v>6854.2</v>
      </c>
      <c r="M174" s="42">
        <f>M18+M21+M84+M110+M114+M151+M155+M171-0.1</f>
        <v>1380.02936856</v>
      </c>
      <c r="N174" s="42">
        <f t="shared" si="151"/>
        <v>305.09999999999997</v>
      </c>
      <c r="O174" s="42">
        <f>O18+O21+O84+O110+O114+O151+O155+O171-0.1</f>
        <v>183.99734000000001</v>
      </c>
      <c r="P174" s="42">
        <f>P18+P21+P84+P110+P114+P151+P155+P171</f>
        <v>72195.359824359999</v>
      </c>
      <c r="Q174" s="40"/>
      <c r="R174" s="40"/>
    </row>
    <row r="178" spans="12:12" x14ac:dyDescent="0.3">
      <c r="L178" s="31"/>
    </row>
  </sheetData>
  <autoFilter ref="A14:P174" xr:uid="{00000000-0009-0000-0000-000000000000}"/>
  <mergeCells count="33">
    <mergeCell ref="A156:P156"/>
    <mergeCell ref="A119:P119"/>
    <mergeCell ref="A148:P148"/>
    <mergeCell ref="A95:P95"/>
    <mergeCell ref="A85:P85"/>
    <mergeCell ref="A111:P111"/>
    <mergeCell ref="A115:P115"/>
    <mergeCell ref="A152:P152"/>
    <mergeCell ref="A141:P141"/>
    <mergeCell ref="A50:P50"/>
    <mergeCell ref="A22:P22"/>
    <mergeCell ref="A11:A13"/>
    <mergeCell ref="A15:P15"/>
    <mergeCell ref="N11:O11"/>
    <mergeCell ref="N12:N13"/>
    <mergeCell ref="O12:O13"/>
    <mergeCell ref="H12:H13"/>
    <mergeCell ref="A66:P66"/>
    <mergeCell ref="J7:P7"/>
    <mergeCell ref="J10:P10"/>
    <mergeCell ref="C12:C13"/>
    <mergeCell ref="B11:C11"/>
    <mergeCell ref="J11:K11"/>
    <mergeCell ref="L12:L13"/>
    <mergeCell ref="F12:F13"/>
    <mergeCell ref="L11:M11"/>
    <mergeCell ref="D12:D13"/>
    <mergeCell ref="P11:P13"/>
    <mergeCell ref="J12:J13"/>
    <mergeCell ref="D11:E11"/>
    <mergeCell ref="A8:P8"/>
    <mergeCell ref="A9:P9"/>
    <mergeCell ref="F11:I11"/>
  </mergeCells>
  <phoneticPr fontId="5" type="noConversion"/>
  <printOptions horizontalCentered="1"/>
  <pageMargins left="0.59055118110236227" right="0.19685039370078741" top="0.19685039370078741" bottom="0.19685039370078741" header="0.11811023622047245" footer="0.11811023622047245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3"/>
  <sheetViews>
    <sheetView zoomScale="89" zoomScaleNormal="89" workbookViewId="0">
      <selection activeCell="E4" sqref="E4"/>
    </sheetView>
  </sheetViews>
  <sheetFormatPr defaultRowHeight="15" x14ac:dyDescent="0.25"/>
  <cols>
    <col min="1" max="1" width="5.140625" customWidth="1"/>
    <col min="2" max="2" width="21.42578125" customWidth="1"/>
    <col min="3" max="3" width="17.5703125" customWidth="1"/>
    <col min="4" max="7" width="13.28515625" customWidth="1"/>
    <col min="16" max="16" width="14.42578125" customWidth="1"/>
    <col min="18" max="18" width="12.28515625" bestFit="1" customWidth="1"/>
    <col min="20" max="20" width="12.28515625" bestFit="1" customWidth="1"/>
    <col min="23" max="23" width="11.42578125" customWidth="1"/>
    <col min="24" max="24" width="13.42578125" bestFit="1" customWidth="1"/>
    <col min="26" max="26" width="12.28515625" bestFit="1" customWidth="1"/>
  </cols>
  <sheetData>
    <row r="1" spans="1:18" ht="35.25" customHeight="1" x14ac:dyDescent="0.25">
      <c r="A1" s="103"/>
      <c r="B1" s="103"/>
      <c r="C1" s="103"/>
      <c r="D1" s="103"/>
      <c r="E1" s="103"/>
      <c r="F1" s="103"/>
      <c r="G1" s="103"/>
    </row>
    <row r="2" spans="1:18" ht="35.25" customHeight="1" thickBot="1" x14ac:dyDescent="0.3">
      <c r="A2" s="103" t="s">
        <v>48</v>
      </c>
      <c r="B2" s="103"/>
      <c r="C2" s="103"/>
      <c r="D2" s="103"/>
      <c r="E2" s="103"/>
      <c r="F2" s="103"/>
      <c r="G2" s="103"/>
    </row>
    <row r="3" spans="1:18" ht="29.25" customHeight="1" thickBot="1" x14ac:dyDescent="0.3">
      <c r="A3" s="3" t="s">
        <v>20</v>
      </c>
      <c r="B3" s="4" t="s">
        <v>21</v>
      </c>
      <c r="C3" s="4" t="s">
        <v>22</v>
      </c>
      <c r="D3" s="4" t="s">
        <v>58</v>
      </c>
      <c r="E3" s="4" t="s">
        <v>59</v>
      </c>
      <c r="F3" s="4" t="s">
        <v>58</v>
      </c>
      <c r="G3" s="4" t="s">
        <v>59</v>
      </c>
    </row>
    <row r="4" spans="1:18" ht="35.1" customHeight="1" x14ac:dyDescent="0.25">
      <c r="A4" s="98">
        <v>1</v>
      </c>
      <c r="B4" s="104" t="s">
        <v>23</v>
      </c>
      <c r="C4" s="11" t="s">
        <v>18</v>
      </c>
      <c r="D4" s="15">
        <v>10091.200000000001</v>
      </c>
      <c r="E4" s="15">
        <v>15184.6</v>
      </c>
      <c r="F4" s="16">
        <f>SUM(D4*1.22)</f>
        <v>12311.264000000001</v>
      </c>
      <c r="G4" s="16">
        <f>SUM(E4*1.22)</f>
        <v>18525.212</v>
      </c>
      <c r="I4">
        <v>1.04</v>
      </c>
      <c r="J4" s="1">
        <f>D4*1.04</f>
        <v>10494.848000000002</v>
      </c>
    </row>
    <row r="5" spans="1:18" ht="35.1" customHeight="1" x14ac:dyDescent="0.25">
      <c r="A5" s="98"/>
      <c r="B5" s="105"/>
      <c r="C5" s="11" t="s">
        <v>16</v>
      </c>
      <c r="D5" s="15">
        <v>23874.07</v>
      </c>
      <c r="E5" s="15">
        <v>28575.27</v>
      </c>
      <c r="F5" s="16">
        <f t="shared" ref="F5:F23" si="0">SUM(D5*1.22)</f>
        <v>29126.365399999999</v>
      </c>
      <c r="G5" s="16">
        <f t="shared" ref="G5:G23" si="1">SUM(E5*1.22)</f>
        <v>34861.829400000002</v>
      </c>
      <c r="I5">
        <v>1.04</v>
      </c>
      <c r="J5" s="1">
        <f t="shared" ref="J5:J19" si="2">D5*1.04</f>
        <v>24829.032800000001</v>
      </c>
    </row>
    <row r="6" spans="1:18" ht="35.1" customHeight="1" x14ac:dyDescent="0.25">
      <c r="A6" s="98"/>
      <c r="B6" s="105"/>
      <c r="C6" s="11" t="s">
        <v>24</v>
      </c>
      <c r="D6" s="15">
        <v>23321.33</v>
      </c>
      <c r="E6" s="15">
        <v>33833.449999999997</v>
      </c>
      <c r="F6" s="16">
        <f t="shared" si="0"/>
        <v>28452.0226</v>
      </c>
      <c r="G6" s="16">
        <f t="shared" si="1"/>
        <v>41276.808999999994</v>
      </c>
      <c r="I6">
        <v>1.04</v>
      </c>
      <c r="J6" s="1">
        <f t="shared" si="2"/>
        <v>24254.183200000003</v>
      </c>
    </row>
    <row r="7" spans="1:18" ht="35.1" customHeight="1" thickBot="1" x14ac:dyDescent="0.3">
      <c r="A7" s="99"/>
      <c r="B7" s="106"/>
      <c r="C7" s="6" t="s">
        <v>15</v>
      </c>
      <c r="D7" s="22">
        <v>23719.43</v>
      </c>
      <c r="E7" s="15">
        <v>28297.279999999999</v>
      </c>
      <c r="F7" s="16">
        <f t="shared" si="0"/>
        <v>28937.704600000001</v>
      </c>
      <c r="G7" s="16">
        <f t="shared" si="1"/>
        <v>34522.681599999996</v>
      </c>
      <c r="I7">
        <v>1.04</v>
      </c>
      <c r="J7" s="1">
        <f t="shared" si="2"/>
        <v>24668.207200000001</v>
      </c>
      <c r="P7" s="5"/>
      <c r="R7" s="5"/>
    </row>
    <row r="8" spans="1:18" ht="35.1" customHeight="1" x14ac:dyDescent="0.25">
      <c r="A8" s="98">
        <v>2</v>
      </c>
      <c r="B8" s="100" t="s">
        <v>25</v>
      </c>
      <c r="C8" s="11" t="s">
        <v>18</v>
      </c>
      <c r="D8" s="15">
        <v>83.75</v>
      </c>
      <c r="E8" s="15">
        <v>104.11</v>
      </c>
      <c r="F8" s="16">
        <f t="shared" si="0"/>
        <v>102.175</v>
      </c>
      <c r="G8" s="16">
        <f t="shared" si="1"/>
        <v>127.0142</v>
      </c>
      <c r="I8">
        <v>1.04</v>
      </c>
      <c r="J8" s="1">
        <f t="shared" si="2"/>
        <v>87.100000000000009</v>
      </c>
    </row>
    <row r="9" spans="1:18" ht="35.1" customHeight="1" x14ac:dyDescent="0.25">
      <c r="A9" s="98"/>
      <c r="B9" s="101"/>
      <c r="C9" s="11" t="s">
        <v>16</v>
      </c>
      <c r="D9" s="15">
        <v>102.19</v>
      </c>
      <c r="E9" s="15">
        <v>132</v>
      </c>
      <c r="F9" s="16">
        <f>SUM(D9*1.22)</f>
        <v>124.67179999999999</v>
      </c>
      <c r="G9" s="16">
        <f t="shared" si="1"/>
        <v>161.04</v>
      </c>
      <c r="I9">
        <v>1.04</v>
      </c>
      <c r="J9" s="1">
        <f t="shared" si="2"/>
        <v>106.27760000000001</v>
      </c>
    </row>
    <row r="10" spans="1:18" ht="35.1" customHeight="1" x14ac:dyDescent="0.25">
      <c r="A10" s="98"/>
      <c r="B10" s="101"/>
      <c r="C10" s="11" t="s">
        <v>24</v>
      </c>
      <c r="D10" s="15">
        <v>83.75</v>
      </c>
      <c r="E10" s="15">
        <v>104.11</v>
      </c>
      <c r="F10" s="16">
        <f t="shared" si="0"/>
        <v>102.175</v>
      </c>
      <c r="G10" s="16">
        <f t="shared" si="1"/>
        <v>127.0142</v>
      </c>
      <c r="I10">
        <v>1.04</v>
      </c>
      <c r="J10" s="1">
        <f t="shared" si="2"/>
        <v>87.100000000000009</v>
      </c>
    </row>
    <row r="11" spans="1:18" ht="35.1" customHeight="1" thickBot="1" x14ac:dyDescent="0.3">
      <c r="A11" s="99"/>
      <c r="B11" s="102"/>
      <c r="C11" s="6" t="s">
        <v>15</v>
      </c>
      <c r="D11" s="23">
        <v>125.27</v>
      </c>
      <c r="E11" s="15">
        <v>185.88</v>
      </c>
      <c r="F11" s="16">
        <f t="shared" si="0"/>
        <v>152.82939999999999</v>
      </c>
      <c r="G11" s="16">
        <f t="shared" si="1"/>
        <v>226.77359999999999</v>
      </c>
      <c r="I11">
        <v>1.04</v>
      </c>
      <c r="J11" s="1">
        <f t="shared" si="2"/>
        <v>130.2808</v>
      </c>
    </row>
    <row r="12" spans="1:18" ht="35.1" customHeight="1" x14ac:dyDescent="0.25">
      <c r="A12" s="98">
        <v>3</v>
      </c>
      <c r="B12" s="100" t="s">
        <v>26</v>
      </c>
      <c r="C12" s="12" t="s">
        <v>18</v>
      </c>
      <c r="D12" s="19">
        <v>140.09</v>
      </c>
      <c r="E12" s="18">
        <v>193.15</v>
      </c>
      <c r="F12" s="16">
        <f t="shared" si="0"/>
        <v>170.90979999999999</v>
      </c>
      <c r="G12" s="16">
        <f t="shared" si="1"/>
        <v>235.643</v>
      </c>
      <c r="I12">
        <v>1.04</v>
      </c>
      <c r="J12" s="1">
        <f t="shared" si="2"/>
        <v>145.6936</v>
      </c>
    </row>
    <row r="13" spans="1:18" ht="35.1" customHeight="1" x14ac:dyDescent="0.25">
      <c r="A13" s="98"/>
      <c r="B13" s="101"/>
      <c r="C13" s="12" t="s">
        <v>16</v>
      </c>
      <c r="D13" s="19">
        <v>34.979999999999997</v>
      </c>
      <c r="E13" s="18">
        <v>39.270000000000003</v>
      </c>
      <c r="F13" s="16">
        <f t="shared" si="0"/>
        <v>42.675599999999996</v>
      </c>
      <c r="G13" s="16">
        <f t="shared" si="1"/>
        <v>47.909400000000005</v>
      </c>
      <c r="I13">
        <v>1.04</v>
      </c>
      <c r="J13" s="1">
        <f t="shared" si="2"/>
        <v>36.379199999999997</v>
      </c>
    </row>
    <row r="14" spans="1:18" s="5" customFormat="1" ht="35.1" customHeight="1" x14ac:dyDescent="0.25">
      <c r="A14" s="98"/>
      <c r="B14" s="101"/>
      <c r="C14" s="8" t="s">
        <v>24</v>
      </c>
      <c r="D14" s="20">
        <v>137.33000000000001</v>
      </c>
      <c r="E14" s="21">
        <v>150.79</v>
      </c>
      <c r="F14" s="16">
        <f t="shared" si="0"/>
        <v>167.54260000000002</v>
      </c>
      <c r="G14" s="16">
        <f t="shared" si="1"/>
        <v>183.96379999999999</v>
      </c>
      <c r="H14" s="7"/>
      <c r="I14">
        <v>1.04</v>
      </c>
      <c r="J14" s="1">
        <f>D14*1.04</f>
        <v>142.82320000000001</v>
      </c>
    </row>
    <row r="15" spans="1:18" ht="35.1" customHeight="1" thickBot="1" x14ac:dyDescent="0.3">
      <c r="A15" s="99"/>
      <c r="B15" s="108"/>
      <c r="C15" s="14" t="s">
        <v>15</v>
      </c>
      <c r="D15" s="19">
        <v>139.66</v>
      </c>
      <c r="E15" s="18">
        <v>207.66</v>
      </c>
      <c r="F15" s="16">
        <f t="shared" si="0"/>
        <v>170.3852</v>
      </c>
      <c r="G15" s="16">
        <f t="shared" si="1"/>
        <v>253.34519999999998</v>
      </c>
      <c r="H15" s="2"/>
      <c r="I15">
        <v>1.04</v>
      </c>
      <c r="J15" s="1">
        <f t="shared" si="2"/>
        <v>145.24639999999999</v>
      </c>
    </row>
    <row r="16" spans="1:18" ht="35.1" customHeight="1" x14ac:dyDescent="0.25">
      <c r="A16" s="98">
        <v>4</v>
      </c>
      <c r="B16" s="107" t="s">
        <v>27</v>
      </c>
      <c r="C16" s="9" t="s">
        <v>18</v>
      </c>
      <c r="D16" s="19">
        <v>9.76</v>
      </c>
      <c r="E16" s="18">
        <f t="shared" ref="E16:E19" si="3">D16*1.049</f>
        <v>10.238239999999999</v>
      </c>
      <c r="F16" s="16">
        <f t="shared" si="0"/>
        <v>11.9072</v>
      </c>
      <c r="G16" s="16">
        <f t="shared" si="1"/>
        <v>12.490652799999999</v>
      </c>
      <c r="I16">
        <v>1.04</v>
      </c>
      <c r="J16" s="1">
        <f t="shared" si="2"/>
        <v>10.150399999999999</v>
      </c>
    </row>
    <row r="17" spans="1:10" ht="35.1" customHeight="1" x14ac:dyDescent="0.25">
      <c r="A17" s="98"/>
      <c r="B17" s="101"/>
      <c r="C17" s="9" t="s">
        <v>16</v>
      </c>
      <c r="D17" s="19">
        <v>9.76</v>
      </c>
      <c r="E17" s="18">
        <f t="shared" si="3"/>
        <v>10.238239999999999</v>
      </c>
      <c r="F17" s="16">
        <f t="shared" si="0"/>
        <v>11.9072</v>
      </c>
      <c r="G17" s="16">
        <f t="shared" si="1"/>
        <v>12.490652799999999</v>
      </c>
      <c r="I17">
        <v>1.04</v>
      </c>
      <c r="J17" s="1">
        <f t="shared" si="2"/>
        <v>10.150399999999999</v>
      </c>
    </row>
    <row r="18" spans="1:10" ht="35.1" customHeight="1" x14ac:dyDescent="0.25">
      <c r="A18" s="98"/>
      <c r="B18" s="101"/>
      <c r="C18" s="9" t="s">
        <v>24</v>
      </c>
      <c r="D18" s="19">
        <v>9.76</v>
      </c>
      <c r="E18" s="18">
        <f t="shared" si="3"/>
        <v>10.238239999999999</v>
      </c>
      <c r="F18" s="16">
        <f t="shared" si="0"/>
        <v>11.9072</v>
      </c>
      <c r="G18" s="16">
        <f t="shared" si="1"/>
        <v>12.490652799999999</v>
      </c>
      <c r="I18">
        <v>1.04</v>
      </c>
      <c r="J18" s="1">
        <f t="shared" si="2"/>
        <v>10.150399999999999</v>
      </c>
    </row>
    <row r="19" spans="1:10" ht="35.1" customHeight="1" thickBot="1" x14ac:dyDescent="0.3">
      <c r="A19" s="99"/>
      <c r="B19" s="102"/>
      <c r="C19" s="10" t="s">
        <v>15</v>
      </c>
      <c r="D19" s="24">
        <v>9.76</v>
      </c>
      <c r="E19" s="18">
        <f t="shared" si="3"/>
        <v>10.238239999999999</v>
      </c>
      <c r="F19" s="16">
        <f t="shared" si="0"/>
        <v>11.9072</v>
      </c>
      <c r="G19" s="16">
        <f t="shared" si="1"/>
        <v>12.490652799999999</v>
      </c>
      <c r="I19">
        <v>1.04</v>
      </c>
      <c r="J19" s="1">
        <f t="shared" si="2"/>
        <v>10.150399999999999</v>
      </c>
    </row>
    <row r="20" spans="1:10" ht="27.75" customHeight="1" x14ac:dyDescent="0.25">
      <c r="A20" s="98">
        <v>5</v>
      </c>
      <c r="B20" s="100" t="s">
        <v>31</v>
      </c>
      <c r="C20" s="12" t="s">
        <v>18</v>
      </c>
      <c r="D20" s="17">
        <v>603.4</v>
      </c>
      <c r="E20" s="17">
        <v>603.4</v>
      </c>
      <c r="F20" s="16">
        <f t="shared" si="0"/>
        <v>736.14799999999991</v>
      </c>
      <c r="G20" s="16">
        <f t="shared" si="1"/>
        <v>736.14799999999991</v>
      </c>
      <c r="I20">
        <v>1.04</v>
      </c>
      <c r="J20" s="1">
        <f>D20*1.04</f>
        <v>627.53599999999994</v>
      </c>
    </row>
    <row r="21" spans="1:10" ht="24.75" customHeight="1" x14ac:dyDescent="0.25">
      <c r="A21" s="98"/>
      <c r="B21" s="101"/>
      <c r="C21" s="12" t="s">
        <v>16</v>
      </c>
      <c r="D21" s="17">
        <v>603.4</v>
      </c>
      <c r="E21" s="17">
        <v>603.4</v>
      </c>
      <c r="F21" s="16">
        <f t="shared" si="0"/>
        <v>736.14799999999991</v>
      </c>
      <c r="G21" s="16">
        <f t="shared" si="1"/>
        <v>736.14799999999991</v>
      </c>
      <c r="I21">
        <v>1.04</v>
      </c>
      <c r="J21" s="1">
        <f>D21*1.04</f>
        <v>627.53599999999994</v>
      </c>
    </row>
    <row r="22" spans="1:10" ht="30" customHeight="1" x14ac:dyDescent="0.25">
      <c r="A22" s="98"/>
      <c r="B22" s="101"/>
      <c r="C22" s="12" t="s">
        <v>24</v>
      </c>
      <c r="D22" s="17">
        <v>603.4</v>
      </c>
      <c r="E22" s="17">
        <v>603.4</v>
      </c>
      <c r="F22" s="16">
        <f t="shared" si="0"/>
        <v>736.14799999999991</v>
      </c>
      <c r="G22" s="16">
        <f t="shared" si="1"/>
        <v>736.14799999999991</v>
      </c>
      <c r="I22">
        <v>1.04</v>
      </c>
      <c r="J22" s="1">
        <f>D22*1.04</f>
        <v>627.53599999999994</v>
      </c>
    </row>
    <row r="23" spans="1:10" ht="35.25" customHeight="1" thickBot="1" x14ac:dyDescent="0.3">
      <c r="A23" s="99"/>
      <c r="B23" s="102"/>
      <c r="C23" s="13" t="s">
        <v>15</v>
      </c>
      <c r="D23" s="17">
        <v>603.4</v>
      </c>
      <c r="E23" s="17">
        <v>603.4</v>
      </c>
      <c r="F23" s="16">
        <f t="shared" si="0"/>
        <v>736.14799999999991</v>
      </c>
      <c r="G23" s="16">
        <f t="shared" si="1"/>
        <v>736.14799999999991</v>
      </c>
      <c r="I23">
        <v>1.04</v>
      </c>
      <c r="J23" s="1">
        <f>D23*1.04</f>
        <v>627.53599999999994</v>
      </c>
    </row>
  </sheetData>
  <mergeCells count="12">
    <mergeCell ref="A20:A23"/>
    <mergeCell ref="B20:B23"/>
    <mergeCell ref="A16:A19"/>
    <mergeCell ref="B16:B19"/>
    <mergeCell ref="A12:A15"/>
    <mergeCell ref="B12:B15"/>
    <mergeCell ref="A8:A11"/>
    <mergeCell ref="B8:B11"/>
    <mergeCell ref="A1:G1"/>
    <mergeCell ref="A2:G2"/>
    <mergeCell ref="A4:A7"/>
    <mergeCell ref="B4:B7"/>
  </mergeCells>
  <phoneticPr fontId="5" type="noConversion"/>
  <printOptions horizontalCentered="1"/>
  <pageMargins left="0.31496062992125984" right="0.31496062992125984" top="0.47244094488188981" bottom="0.47244094488188981" header="0" footer="0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ЛИМИТЫ</vt:lpstr>
      <vt:lpstr>ТАРИФЫ</vt:lpstr>
      <vt:lpstr>ЛИМИТЫ!Заголовки_для_печати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Дмитрий Валерьевич</dc:creator>
  <cp:lastModifiedBy>User</cp:lastModifiedBy>
  <cp:lastPrinted>2026-08-25T05:38:49Z</cp:lastPrinted>
  <dcterms:created xsi:type="dcterms:W3CDTF">2016-11-22T02:25:12Z</dcterms:created>
  <dcterms:modified xsi:type="dcterms:W3CDTF">2026-08-25T05:39:08Z</dcterms:modified>
</cp:coreProperties>
</file>