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МИТЫ" sheetId="1" r:id="rId1"/>
    <sheet name="ТАРИФЫ" sheetId="2" r:id="rId2"/>
  </sheets>
  <definedNames>
    <definedName name="_xlnm._FilterDatabase" localSheetId="0" hidden="1">ЛИМИТЫ!$A$13:$N$150</definedName>
    <definedName name="_xlnm.Print_Titles" localSheetId="0">ЛИМИТЫ!$10:$13</definedName>
  </definedNames>
  <calcPr calcId="145621" iterate="1"/>
</workbook>
</file>

<file path=xl/calcChain.xml><?xml version="1.0" encoding="utf-8"?>
<calcChain xmlns="http://schemas.openxmlformats.org/spreadsheetml/2006/main">
  <c r="K153" i="1" l="1"/>
  <c r="K152" i="1"/>
  <c r="K20" i="1"/>
  <c r="K19" i="1"/>
  <c r="K76" i="1"/>
  <c r="K75" i="1"/>
  <c r="K85" i="1"/>
  <c r="K86" i="1"/>
  <c r="K106" i="1"/>
  <c r="K105" i="1"/>
  <c r="K110" i="1"/>
  <c r="K109" i="1"/>
  <c r="N153" i="1"/>
  <c r="N124" i="1"/>
  <c r="K124" i="1"/>
  <c r="N110" i="1"/>
  <c r="M110" i="1"/>
  <c r="M109" i="1"/>
  <c r="N18" i="1"/>
  <c r="C20" i="1"/>
  <c r="C19" i="1"/>
  <c r="I153" i="1"/>
  <c r="I152" i="1"/>
  <c r="G152" i="1"/>
  <c r="G153" i="1"/>
  <c r="E152" i="1"/>
  <c r="E153" i="1"/>
  <c r="C151" i="1"/>
  <c r="C153" i="1"/>
  <c r="C152" i="1"/>
  <c r="I106" i="1"/>
  <c r="I105" i="1"/>
  <c r="G106" i="1"/>
  <c r="G105" i="1"/>
  <c r="E106" i="1"/>
  <c r="E105" i="1"/>
  <c r="C106" i="1"/>
  <c r="N123" i="1"/>
  <c r="C105" i="1"/>
  <c r="C110" i="1"/>
  <c r="C109" i="1"/>
  <c r="N134" i="1"/>
  <c r="C133" i="1"/>
  <c r="C134" i="1"/>
  <c r="L31" i="1"/>
  <c r="L109" i="1"/>
  <c r="H110" i="1"/>
  <c r="H109" i="1"/>
  <c r="D110" i="1"/>
  <c r="D109" i="1"/>
  <c r="B110" i="1"/>
  <c r="B106" i="1" s="1"/>
  <c r="B109" i="1"/>
  <c r="B105" i="1" s="1"/>
  <c r="F110" i="1"/>
  <c r="L110" i="1"/>
  <c r="F109" i="1"/>
  <c r="J114" i="1"/>
  <c r="G114" i="1"/>
  <c r="M113" i="1"/>
  <c r="J113" i="1"/>
  <c r="G113" i="1"/>
  <c r="G112" i="1" s="1"/>
  <c r="L112" i="1"/>
  <c r="J112" i="1"/>
  <c r="H112" i="1"/>
  <c r="F112" i="1"/>
  <c r="D112" i="1"/>
  <c r="B112" i="1"/>
  <c r="B133" i="1"/>
  <c r="D19" i="1" l="1"/>
  <c r="B19" i="1"/>
  <c r="D85" i="1" l="1"/>
  <c r="B85" i="1"/>
  <c r="M126" i="1" l="1"/>
  <c r="F68" i="1" l="1"/>
  <c r="M93" i="1"/>
  <c r="M96" i="1"/>
  <c r="M95" i="1"/>
  <c r="M94" i="1" s="1"/>
  <c r="M92" i="1"/>
  <c r="M99" i="1"/>
  <c r="M98" i="1"/>
  <c r="M64" i="1"/>
  <c r="M67" i="1"/>
  <c r="L86" i="1"/>
  <c r="L85" i="1"/>
  <c r="H86" i="1"/>
  <c r="H102" i="1" s="1"/>
  <c r="H85" i="1"/>
  <c r="H101" i="1" s="1"/>
  <c r="F85" i="1"/>
  <c r="D86" i="1"/>
  <c r="D102" i="1" s="1"/>
  <c r="D101" i="1"/>
  <c r="B86" i="1"/>
  <c r="B102" i="1" s="1"/>
  <c r="B101" i="1"/>
  <c r="M91" i="1" l="1"/>
  <c r="B148" i="1" l="1"/>
  <c r="H128" i="1" l="1"/>
  <c r="F128" i="1"/>
  <c r="L101" i="1" l="1"/>
  <c r="M61" i="1" l="1"/>
  <c r="M60" i="1"/>
  <c r="M70" i="1"/>
  <c r="M35" i="1"/>
  <c r="M59" i="1" l="1"/>
  <c r="L81" i="1"/>
  <c r="M82" i="1"/>
  <c r="M83" i="1"/>
  <c r="L75" i="1"/>
  <c r="L76" i="1"/>
  <c r="L65" i="1"/>
  <c r="M63" i="1"/>
  <c r="L40" i="1"/>
  <c r="L37" i="1"/>
  <c r="M24" i="1"/>
  <c r="M73" i="1"/>
  <c r="M72" i="1"/>
  <c r="L59" i="1"/>
  <c r="L71" i="1"/>
  <c r="L68" i="1"/>
  <c r="M81" i="1" l="1"/>
  <c r="M71" i="1"/>
  <c r="M62" i="1"/>
  <c r="L124" i="1"/>
  <c r="M47" i="1"/>
  <c r="M48" i="1"/>
  <c r="L50" i="1"/>
  <c r="M80" i="1" l="1"/>
  <c r="M79" i="1"/>
  <c r="L102" i="1"/>
  <c r="M90" i="1"/>
  <c r="M86" i="1" s="1"/>
  <c r="M89" i="1"/>
  <c r="L91" i="1"/>
  <c r="L97" i="1"/>
  <c r="M117" i="1"/>
  <c r="M116" i="1"/>
  <c r="L118" i="1"/>
  <c r="M120" i="1"/>
  <c r="M119" i="1"/>
  <c r="L128" i="1"/>
  <c r="M130" i="1"/>
  <c r="M129" i="1"/>
  <c r="M125" i="1"/>
  <c r="L121" i="1"/>
  <c r="M123" i="1"/>
  <c r="M122" i="1"/>
  <c r="M39" i="1"/>
  <c r="M38" i="1"/>
  <c r="M37" i="1" s="1"/>
  <c r="L34" i="1"/>
  <c r="M36" i="1"/>
  <c r="L62" i="1"/>
  <c r="M41" i="1"/>
  <c r="M42" i="1"/>
  <c r="M33" i="1"/>
  <c r="L28" i="1"/>
  <c r="M30" i="1"/>
  <c r="L25" i="1"/>
  <c r="M27" i="1"/>
  <c r="M26" i="1"/>
  <c r="M66" i="1"/>
  <c r="M65" i="1" s="1"/>
  <c r="M32" i="1"/>
  <c r="M29" i="1"/>
  <c r="L56" i="1"/>
  <c r="L53" i="1"/>
  <c r="M55" i="1"/>
  <c r="M54" i="1"/>
  <c r="M58" i="1"/>
  <c r="M57" i="1"/>
  <c r="L94" i="1"/>
  <c r="M69" i="1"/>
  <c r="M52" i="1"/>
  <c r="M23" i="1"/>
  <c r="M17" i="1"/>
  <c r="M16" i="1"/>
  <c r="M51" i="1"/>
  <c r="L15" i="1"/>
  <c r="B134" i="1"/>
  <c r="M144" i="1"/>
  <c r="M143" i="1" s="1"/>
  <c r="M142" i="1" s="1"/>
  <c r="M141" i="1" s="1"/>
  <c r="M140" i="1" s="1"/>
  <c r="M139" i="1" s="1"/>
  <c r="L144" i="1"/>
  <c r="L143" i="1" s="1"/>
  <c r="L142" i="1" s="1"/>
  <c r="L141" i="1" s="1"/>
  <c r="K144" i="1"/>
  <c r="K143" i="1" s="1"/>
  <c r="K142" i="1" s="1"/>
  <c r="K141" i="1" s="1"/>
  <c r="J144" i="1"/>
  <c r="J143" i="1" s="1"/>
  <c r="J142" i="1" s="1"/>
  <c r="J141" i="1" s="1"/>
  <c r="I144" i="1"/>
  <c r="I143" i="1" s="1"/>
  <c r="H144" i="1"/>
  <c r="H143" i="1" s="1"/>
  <c r="H142" i="1" s="1"/>
  <c r="H141" i="1" s="1"/>
  <c r="H140" i="1" s="1"/>
  <c r="H139" i="1" s="1"/>
  <c r="G144" i="1"/>
  <c r="G143" i="1" s="1"/>
  <c r="G142" i="1" s="1"/>
  <c r="G141" i="1" s="1"/>
  <c r="F144" i="1"/>
  <c r="F143" i="1" s="1"/>
  <c r="F142" i="1" s="1"/>
  <c r="F141" i="1" s="1"/>
  <c r="E144" i="1"/>
  <c r="E143" i="1" s="1"/>
  <c r="E142" i="1" s="1"/>
  <c r="D144" i="1"/>
  <c r="D143" i="1" s="1"/>
  <c r="D142" i="1" s="1"/>
  <c r="D141" i="1" s="1"/>
  <c r="B142" i="1"/>
  <c r="B139" i="1"/>
  <c r="B145" i="1"/>
  <c r="E23" i="2"/>
  <c r="M114" i="1" s="1"/>
  <c r="E24" i="2"/>
  <c r="E21" i="2"/>
  <c r="M112" i="1" l="1"/>
  <c r="M76" i="1"/>
  <c r="M106" i="1"/>
  <c r="M75" i="1"/>
  <c r="M40" i="1"/>
  <c r="M121" i="1"/>
  <c r="M128" i="1"/>
  <c r="M85" i="1"/>
  <c r="M84" i="1" s="1"/>
  <c r="M20" i="1"/>
  <c r="M105" i="1"/>
  <c r="M118" i="1"/>
  <c r="M102" i="1"/>
  <c r="M19" i="1"/>
  <c r="M22" i="1"/>
  <c r="M53" i="1"/>
  <c r="M31" i="1"/>
  <c r="M97" i="1"/>
  <c r="M25" i="1"/>
  <c r="L84" i="1"/>
  <c r="M115" i="1"/>
  <c r="M56" i="1"/>
  <c r="M28" i="1"/>
  <c r="M15" i="1"/>
  <c r="L108" i="1"/>
  <c r="D140" i="1"/>
  <c r="D134" i="1"/>
  <c r="G140" i="1"/>
  <c r="G134" i="1"/>
  <c r="K140" i="1"/>
  <c r="K134" i="1"/>
  <c r="F140" i="1"/>
  <c r="F134" i="1"/>
  <c r="L140" i="1"/>
  <c r="L134" i="1"/>
  <c r="J140" i="1"/>
  <c r="J134" i="1"/>
  <c r="H133" i="1"/>
  <c r="H134" i="1"/>
  <c r="M133" i="1"/>
  <c r="M134" i="1"/>
  <c r="I142" i="1"/>
  <c r="I141" i="1" s="1"/>
  <c r="E141" i="1"/>
  <c r="E134" i="1" s="1"/>
  <c r="M74" i="1" l="1"/>
  <c r="M101" i="1"/>
  <c r="M152" i="1" s="1"/>
  <c r="M153" i="1"/>
  <c r="M18" i="1"/>
  <c r="M104" i="1"/>
  <c r="M108" i="1"/>
  <c r="L100" i="1"/>
  <c r="J139" i="1"/>
  <c r="J133" i="1"/>
  <c r="L139" i="1"/>
  <c r="L133" i="1"/>
  <c r="G139" i="1"/>
  <c r="G133" i="1"/>
  <c r="I140" i="1"/>
  <c r="I134" i="1"/>
  <c r="K139" i="1"/>
  <c r="K133" i="1"/>
  <c r="F139" i="1"/>
  <c r="F133" i="1"/>
  <c r="D139" i="1"/>
  <c r="D133" i="1"/>
  <c r="E140" i="1"/>
  <c r="E133" i="1" s="1"/>
  <c r="J82" i="1"/>
  <c r="F19" i="1"/>
  <c r="H19" i="1"/>
  <c r="L19" i="1"/>
  <c r="D20" i="1"/>
  <c r="F20" i="1"/>
  <c r="H20" i="1"/>
  <c r="J20" i="1"/>
  <c r="L20" i="1"/>
  <c r="L106" i="1"/>
  <c r="L105" i="1"/>
  <c r="L115" i="1"/>
  <c r="L88" i="1"/>
  <c r="M88" i="1"/>
  <c r="L78" i="1"/>
  <c r="M78" i="1"/>
  <c r="L22" i="1"/>
  <c r="M151" i="1" l="1"/>
  <c r="N151" i="1" s="1"/>
  <c r="I139" i="1"/>
  <c r="I133" i="1"/>
  <c r="E139" i="1"/>
  <c r="L104" i="1"/>
  <c r="L18" i="1"/>
  <c r="L74" i="1"/>
  <c r="F18" i="1"/>
  <c r="D18" i="1"/>
  <c r="H18" i="1"/>
  <c r="L153" i="1" l="1"/>
  <c r="L152" i="1"/>
  <c r="M68" i="1"/>
  <c r="M50" i="1"/>
  <c r="F27" i="2"/>
  <c r="G27" i="2"/>
  <c r="F28" i="2"/>
  <c r="G28" i="2"/>
  <c r="F29" i="2"/>
  <c r="G29" i="2"/>
  <c r="G26" i="2"/>
  <c r="F26" i="2"/>
  <c r="J29" i="2"/>
  <c r="J28" i="2"/>
  <c r="J27" i="2"/>
  <c r="J26" i="2"/>
  <c r="J25" i="2"/>
  <c r="E25" i="2" s="1"/>
  <c r="G25" i="2" s="1"/>
  <c r="F25" i="2"/>
  <c r="N150" i="1"/>
  <c r="N149" i="1"/>
  <c r="J24" i="2"/>
  <c r="G24" i="2"/>
  <c r="F24" i="2"/>
  <c r="J23" i="2"/>
  <c r="G23" i="2"/>
  <c r="F23" i="2"/>
  <c r="J22" i="2"/>
  <c r="G22" i="2"/>
  <c r="F22" i="2"/>
  <c r="J21" i="2"/>
  <c r="G21" i="2"/>
  <c r="F21" i="2"/>
  <c r="J20" i="2"/>
  <c r="E20" i="2" s="1"/>
  <c r="G20" i="2" s="1"/>
  <c r="F20" i="2"/>
  <c r="J19" i="2"/>
  <c r="G19" i="2"/>
  <c r="F19" i="2"/>
  <c r="J18" i="2"/>
  <c r="G18" i="2"/>
  <c r="F18" i="2"/>
  <c r="J17" i="2"/>
  <c r="G17" i="2"/>
  <c r="F17" i="2"/>
  <c r="J16" i="2"/>
  <c r="G16" i="2"/>
  <c r="F16" i="2"/>
  <c r="J15" i="2"/>
  <c r="G15" i="2"/>
  <c r="K24" i="1" s="1"/>
  <c r="F15" i="2"/>
  <c r="K35" i="1" s="1"/>
  <c r="J14" i="2"/>
  <c r="E14" i="2" s="1"/>
  <c r="G14" i="2" s="1"/>
  <c r="F14" i="2"/>
  <c r="J13" i="2"/>
  <c r="G13" i="2"/>
  <c r="F13" i="2"/>
  <c r="J12" i="2"/>
  <c r="G12" i="2"/>
  <c r="K114" i="1" s="1"/>
  <c r="F12" i="2"/>
  <c r="K113" i="1" s="1"/>
  <c r="J11" i="2"/>
  <c r="G11" i="2"/>
  <c r="F11" i="2"/>
  <c r="J10" i="2"/>
  <c r="G10" i="2"/>
  <c r="F10" i="2"/>
  <c r="I24" i="1" s="1"/>
  <c r="J9" i="2"/>
  <c r="E9" i="2" s="1"/>
  <c r="G9" i="2" s="1"/>
  <c r="F9" i="2"/>
  <c r="J8" i="2"/>
  <c r="G8" i="2"/>
  <c r="G93" i="1" s="1"/>
  <c r="G91" i="1" s="1"/>
  <c r="F8" i="2"/>
  <c r="J7" i="2"/>
  <c r="G7" i="2"/>
  <c r="I114" i="1" s="1"/>
  <c r="F7" i="2"/>
  <c r="I113" i="1" s="1"/>
  <c r="I112" i="1" s="1"/>
  <c r="J6" i="2"/>
  <c r="G6" i="2"/>
  <c r="F6" i="2"/>
  <c r="E95" i="1" s="1"/>
  <c r="J5" i="2"/>
  <c r="G5" i="2"/>
  <c r="F5" i="2"/>
  <c r="G4" i="2"/>
  <c r="F4" i="2"/>
  <c r="E113" i="1" l="1"/>
  <c r="E16" i="1"/>
  <c r="G24" i="1"/>
  <c r="E114" i="1"/>
  <c r="K112" i="1"/>
  <c r="C114" i="1"/>
  <c r="C90" i="1"/>
  <c r="C116" i="1"/>
  <c r="C113" i="1"/>
  <c r="N113" i="1" s="1"/>
  <c r="C69" i="1"/>
  <c r="C32" i="1"/>
  <c r="C95" i="1"/>
  <c r="C85" i="1" s="1"/>
  <c r="C147" i="1"/>
  <c r="N147" i="1" s="1"/>
  <c r="C70" i="1"/>
  <c r="C33" i="1"/>
  <c r="C96" i="1"/>
  <c r="C60" i="1"/>
  <c r="C79" i="1"/>
  <c r="N143" i="1"/>
  <c r="N140" i="1"/>
  <c r="C138" i="1"/>
  <c r="C99" i="1"/>
  <c r="C80" i="1"/>
  <c r="C67" i="1"/>
  <c r="C65" i="1" s="1"/>
  <c r="C58" i="1"/>
  <c r="C56" i="1" s="1"/>
  <c r="C45" i="1"/>
  <c r="C36" i="1"/>
  <c r="C27" i="1"/>
  <c r="C93" i="1"/>
  <c r="C64" i="1"/>
  <c r="C42" i="1"/>
  <c r="C141" i="1"/>
  <c r="C126" i="1"/>
  <c r="C83" i="1"/>
  <c r="C81" i="1" s="1"/>
  <c r="C52" i="1"/>
  <c r="C30" i="1"/>
  <c r="C130" i="1"/>
  <c r="C128" i="1" s="1"/>
  <c r="C120" i="1"/>
  <c r="C73" i="1"/>
  <c r="C71" i="1" s="1"/>
  <c r="C55" i="1"/>
  <c r="C144" i="1"/>
  <c r="C117" i="1"/>
  <c r="C61" i="1"/>
  <c r="C39" i="1"/>
  <c r="C37" i="1" s="1"/>
  <c r="C24" i="1"/>
  <c r="C146" i="1"/>
  <c r="E23" i="1"/>
  <c r="G41" i="1"/>
  <c r="G23" i="1"/>
  <c r="L151" i="1"/>
  <c r="M100" i="1"/>
  <c r="E39" i="1"/>
  <c r="E129" i="1"/>
  <c r="B76" i="1"/>
  <c r="B75" i="1"/>
  <c r="B20" i="1"/>
  <c r="I126" i="1"/>
  <c r="I125" i="1"/>
  <c r="G126" i="1"/>
  <c r="G125" i="1"/>
  <c r="E126" i="1"/>
  <c r="I122" i="1"/>
  <c r="I123" i="1"/>
  <c r="G123" i="1"/>
  <c r="G122" i="1"/>
  <c r="E123" i="1"/>
  <c r="I119" i="1"/>
  <c r="E120" i="1"/>
  <c r="E110" i="1" s="1"/>
  <c r="E119" i="1"/>
  <c r="I117" i="1"/>
  <c r="I110" i="1" s="1"/>
  <c r="I116" i="1"/>
  <c r="G117" i="1"/>
  <c r="G110" i="1" s="1"/>
  <c r="E117" i="1"/>
  <c r="G116" i="1"/>
  <c r="G109" i="1" s="1"/>
  <c r="E99" i="1"/>
  <c r="E98" i="1"/>
  <c r="I96" i="1"/>
  <c r="I95" i="1"/>
  <c r="I94" i="1" s="1"/>
  <c r="E96" i="1"/>
  <c r="I93" i="1"/>
  <c r="I92" i="1"/>
  <c r="E93" i="1"/>
  <c r="I90" i="1"/>
  <c r="I89" i="1"/>
  <c r="G90" i="1"/>
  <c r="G86" i="1" s="1"/>
  <c r="E90" i="1"/>
  <c r="G89" i="1"/>
  <c r="G85" i="1" s="1"/>
  <c r="I83" i="1"/>
  <c r="I82" i="1"/>
  <c r="G83" i="1"/>
  <c r="E83" i="1"/>
  <c r="G82" i="1"/>
  <c r="E81" i="1"/>
  <c r="I80" i="1"/>
  <c r="I79" i="1"/>
  <c r="G80" i="1"/>
  <c r="G79" i="1"/>
  <c r="E80" i="1"/>
  <c r="E73" i="1"/>
  <c r="I73" i="1"/>
  <c r="I72" i="1"/>
  <c r="G73" i="1"/>
  <c r="G72" i="1"/>
  <c r="I70" i="1"/>
  <c r="I69" i="1"/>
  <c r="E70" i="1"/>
  <c r="E69" i="1"/>
  <c r="K30" i="1"/>
  <c r="K29" i="1"/>
  <c r="I67" i="1"/>
  <c r="I66" i="1"/>
  <c r="I65" i="1" s="1"/>
  <c r="G67" i="1"/>
  <c r="G65" i="1" s="1"/>
  <c r="E67" i="1"/>
  <c r="I64" i="1"/>
  <c r="I63" i="1"/>
  <c r="G64" i="1"/>
  <c r="G63" i="1"/>
  <c r="E64" i="1"/>
  <c r="E63" i="1"/>
  <c r="E61" i="1"/>
  <c r="I61" i="1"/>
  <c r="I60" i="1"/>
  <c r="G61" i="1"/>
  <c r="G60" i="1"/>
  <c r="I58" i="1"/>
  <c r="I57" i="1"/>
  <c r="I56" i="1" s="1"/>
  <c r="E58" i="1"/>
  <c r="E57" i="1"/>
  <c r="I55" i="1"/>
  <c r="I54" i="1"/>
  <c r="G55" i="1"/>
  <c r="E55" i="1"/>
  <c r="I52" i="1"/>
  <c r="I51" i="1"/>
  <c r="G52" i="1"/>
  <c r="G76" i="1" s="1"/>
  <c r="G51" i="1"/>
  <c r="E51" i="1"/>
  <c r="E52" i="1"/>
  <c r="K48" i="1"/>
  <c r="I48" i="1"/>
  <c r="I47" i="1"/>
  <c r="E45" i="1"/>
  <c r="E44" i="1"/>
  <c r="E41" i="1"/>
  <c r="K42" i="1"/>
  <c r="I42" i="1"/>
  <c r="I41" i="1"/>
  <c r="G42" i="1"/>
  <c r="K39" i="1"/>
  <c r="K38" i="1"/>
  <c r="I39" i="1"/>
  <c r="I38" i="1"/>
  <c r="G39" i="1"/>
  <c r="G38" i="1"/>
  <c r="E42" i="1"/>
  <c r="K36" i="1"/>
  <c r="K34" i="1" s="1"/>
  <c r="I36" i="1"/>
  <c r="I35" i="1"/>
  <c r="G36" i="1"/>
  <c r="G35" i="1"/>
  <c r="E36" i="1"/>
  <c r="K33" i="1"/>
  <c r="K32" i="1"/>
  <c r="I33" i="1"/>
  <c r="I32" i="1"/>
  <c r="E33" i="1"/>
  <c r="E32" i="1"/>
  <c r="I30" i="1"/>
  <c r="I29" i="1"/>
  <c r="E30" i="1"/>
  <c r="E28" i="1" s="1"/>
  <c r="K27" i="1"/>
  <c r="K26" i="1"/>
  <c r="I27" i="1"/>
  <c r="I26" i="1"/>
  <c r="I23" i="1"/>
  <c r="G27" i="1"/>
  <c r="E27" i="1"/>
  <c r="E24" i="1"/>
  <c r="K17" i="1"/>
  <c r="K16" i="1"/>
  <c r="I17" i="1"/>
  <c r="I16" i="1"/>
  <c r="E125" i="1"/>
  <c r="E122" i="1"/>
  <c r="E116" i="1"/>
  <c r="E89" i="1"/>
  <c r="E79" i="1"/>
  <c r="E72" i="1"/>
  <c r="E60" i="1"/>
  <c r="E59" i="1" s="1"/>
  <c r="E38" i="1"/>
  <c r="E35" i="1"/>
  <c r="G26" i="1"/>
  <c r="E26" i="1"/>
  <c r="I75" i="1" l="1"/>
  <c r="G102" i="1"/>
  <c r="G104" i="1"/>
  <c r="N35" i="1"/>
  <c r="E109" i="1"/>
  <c r="E75" i="1"/>
  <c r="E50" i="1"/>
  <c r="E68" i="1"/>
  <c r="I71" i="1"/>
  <c r="I78" i="1"/>
  <c r="I81" i="1"/>
  <c r="I86" i="1"/>
  <c r="I102" i="1" s="1"/>
  <c r="I109" i="1"/>
  <c r="E22" i="1"/>
  <c r="E19" i="1"/>
  <c r="C76" i="1"/>
  <c r="C101" i="1"/>
  <c r="C78" i="1"/>
  <c r="C112" i="1"/>
  <c r="N114" i="1"/>
  <c r="E121" i="1"/>
  <c r="G37" i="1"/>
  <c r="G75" i="1"/>
  <c r="G74" i="1" s="1"/>
  <c r="E97" i="1"/>
  <c r="N98" i="1"/>
  <c r="I124" i="1"/>
  <c r="E86" i="1"/>
  <c r="N37" i="1"/>
  <c r="C118" i="1"/>
  <c r="N120" i="1"/>
  <c r="N112" i="1"/>
  <c r="C75" i="1"/>
  <c r="E102" i="1"/>
  <c r="I19" i="1"/>
  <c r="I76" i="1"/>
  <c r="G78" i="1"/>
  <c r="G101" i="1"/>
  <c r="G22" i="1"/>
  <c r="G19" i="1"/>
  <c r="G151" i="1" s="1"/>
  <c r="N29" i="1"/>
  <c r="E85" i="1"/>
  <c r="E101" i="1" s="1"/>
  <c r="E76" i="1"/>
  <c r="I85" i="1"/>
  <c r="I101" i="1" s="1"/>
  <c r="C86" i="1"/>
  <c r="C102" i="1" s="1"/>
  <c r="E112" i="1"/>
  <c r="C115" i="1"/>
  <c r="E40" i="1"/>
  <c r="C145" i="1"/>
  <c r="I15" i="1"/>
  <c r="E20" i="1"/>
  <c r="I25" i="1"/>
  <c r="C136" i="1"/>
  <c r="I20" i="1"/>
  <c r="G20" i="1"/>
  <c r="K25" i="1"/>
  <c r="E65" i="1"/>
  <c r="E94" i="1"/>
  <c r="E124" i="1"/>
  <c r="E31" i="1"/>
  <c r="N27" i="1"/>
  <c r="C25" i="1"/>
  <c r="E88" i="1"/>
  <c r="N24" i="1"/>
  <c r="N36" i="1"/>
  <c r="C121" i="1"/>
  <c r="I53" i="1"/>
  <c r="N45" i="1"/>
  <c r="E115" i="1"/>
  <c r="N42" i="1"/>
  <c r="G50" i="1"/>
  <c r="E78" i="1"/>
  <c r="I37" i="1"/>
  <c r="I50" i="1"/>
  <c r="N30" i="1"/>
  <c r="C31" i="1"/>
  <c r="N32" i="1"/>
  <c r="G59" i="1"/>
  <c r="K15" i="1"/>
  <c r="K31" i="1"/>
  <c r="E56" i="1"/>
  <c r="N145" i="1"/>
  <c r="I40" i="1"/>
  <c r="I91" i="1"/>
  <c r="E118" i="1"/>
  <c r="C53" i="1"/>
  <c r="G25" i="1"/>
  <c r="N146" i="1"/>
  <c r="K37" i="1"/>
  <c r="I68" i="1"/>
  <c r="G124" i="1"/>
  <c r="N39" i="1"/>
  <c r="C43" i="1"/>
  <c r="I88" i="1"/>
  <c r="E43" i="1"/>
  <c r="G53" i="1"/>
  <c r="I115" i="1"/>
  <c r="N38" i="1"/>
  <c r="N26" i="1"/>
  <c r="C68" i="1"/>
  <c r="N33" i="1"/>
  <c r="C91" i="1"/>
  <c r="M124" i="1"/>
  <c r="M34" i="1"/>
  <c r="C139" i="1"/>
  <c r="N139" i="1" s="1"/>
  <c r="N141" i="1"/>
  <c r="N144" i="1"/>
  <c r="C142" i="1"/>
  <c r="N142" i="1" s="1"/>
  <c r="C50" i="1"/>
  <c r="E34" i="1"/>
  <c r="G62" i="1"/>
  <c r="N138" i="1"/>
  <c r="E62" i="1"/>
  <c r="C59" i="1"/>
  <c r="I121" i="1"/>
  <c r="I62" i="1"/>
  <c r="N44" i="1"/>
  <c r="C88" i="1"/>
  <c r="C94" i="1"/>
  <c r="N137" i="1"/>
  <c r="C62" i="1"/>
  <c r="G121" i="1"/>
  <c r="I34" i="1"/>
  <c r="I59" i="1"/>
  <c r="C124" i="1"/>
  <c r="E91" i="1"/>
  <c r="G81" i="1"/>
  <c r="G108" i="1"/>
  <c r="E71" i="1"/>
  <c r="E17" i="1"/>
  <c r="D132" i="1"/>
  <c r="F132" i="1"/>
  <c r="H132" i="1"/>
  <c r="I132" i="1"/>
  <c r="J132" i="1"/>
  <c r="K132" i="1"/>
  <c r="B132" i="1"/>
  <c r="D124" i="1"/>
  <c r="F124" i="1"/>
  <c r="H124" i="1"/>
  <c r="D94" i="1"/>
  <c r="F94" i="1"/>
  <c r="G94" i="1"/>
  <c r="H94" i="1"/>
  <c r="D91" i="1"/>
  <c r="F91" i="1"/>
  <c r="H91" i="1"/>
  <c r="D88" i="1"/>
  <c r="F88" i="1"/>
  <c r="G88" i="1"/>
  <c r="H88" i="1"/>
  <c r="B94" i="1"/>
  <c r="B91" i="1"/>
  <c r="B88" i="1"/>
  <c r="D81" i="1"/>
  <c r="F81" i="1"/>
  <c r="H81" i="1"/>
  <c r="B81" i="1"/>
  <c r="D78" i="1"/>
  <c r="F78" i="1"/>
  <c r="H78" i="1"/>
  <c r="B78" i="1"/>
  <c r="B74" i="1"/>
  <c r="D75" i="1"/>
  <c r="F75" i="1"/>
  <c r="H75" i="1"/>
  <c r="D71" i="1"/>
  <c r="F71" i="1"/>
  <c r="G71" i="1"/>
  <c r="H71" i="1"/>
  <c r="D68" i="1"/>
  <c r="G68" i="1"/>
  <c r="H68" i="1"/>
  <c r="D65" i="1"/>
  <c r="F65" i="1"/>
  <c r="H65" i="1"/>
  <c r="D62" i="1"/>
  <c r="F62" i="1"/>
  <c r="H62" i="1"/>
  <c r="D59" i="1"/>
  <c r="F59" i="1"/>
  <c r="H59" i="1"/>
  <c r="D56" i="1"/>
  <c r="F56" i="1"/>
  <c r="G56" i="1"/>
  <c r="H56" i="1"/>
  <c r="B71" i="1"/>
  <c r="B68" i="1"/>
  <c r="B65" i="1"/>
  <c r="B62" i="1"/>
  <c r="B59" i="1"/>
  <c r="B56" i="1"/>
  <c r="D53" i="1"/>
  <c r="E53" i="1"/>
  <c r="F53" i="1"/>
  <c r="H53" i="1"/>
  <c r="B53" i="1"/>
  <c r="D50" i="1"/>
  <c r="F50" i="1"/>
  <c r="H50" i="1"/>
  <c r="B50" i="1"/>
  <c r="D46" i="1"/>
  <c r="E46" i="1"/>
  <c r="F46" i="1"/>
  <c r="G46" i="1"/>
  <c r="H46" i="1"/>
  <c r="I46" i="1"/>
  <c r="B46" i="1"/>
  <c r="J47" i="1"/>
  <c r="D43" i="1"/>
  <c r="F43" i="1"/>
  <c r="G43" i="1"/>
  <c r="H43" i="1"/>
  <c r="I43" i="1"/>
  <c r="J43" i="1"/>
  <c r="K43" i="1"/>
  <c r="B43" i="1"/>
  <c r="J41" i="1"/>
  <c r="D40" i="1"/>
  <c r="F40" i="1"/>
  <c r="G40" i="1"/>
  <c r="H40" i="1"/>
  <c r="B40" i="1"/>
  <c r="D37" i="1"/>
  <c r="E37" i="1"/>
  <c r="F37" i="1"/>
  <c r="H37" i="1"/>
  <c r="J37" i="1"/>
  <c r="B37" i="1"/>
  <c r="D34" i="1"/>
  <c r="F34" i="1"/>
  <c r="G34" i="1"/>
  <c r="H34" i="1"/>
  <c r="J34" i="1"/>
  <c r="B34" i="1"/>
  <c r="D31" i="1"/>
  <c r="F31" i="1"/>
  <c r="G31" i="1"/>
  <c r="H31" i="1"/>
  <c r="I31" i="1"/>
  <c r="J31" i="1"/>
  <c r="B31" i="1"/>
  <c r="D28" i="1"/>
  <c r="F28" i="1"/>
  <c r="G28" i="1"/>
  <c r="H28" i="1"/>
  <c r="I28" i="1"/>
  <c r="J28" i="1"/>
  <c r="K28" i="1"/>
  <c r="B28" i="1"/>
  <c r="D25" i="1"/>
  <c r="E25" i="1"/>
  <c r="F25" i="1"/>
  <c r="H25" i="1"/>
  <c r="J25" i="1"/>
  <c r="B25" i="1"/>
  <c r="D22" i="1"/>
  <c r="F22" i="1"/>
  <c r="H22" i="1"/>
  <c r="I22" i="1"/>
  <c r="J23" i="1"/>
  <c r="K23" i="1" s="1"/>
  <c r="J73" i="1"/>
  <c r="K73" i="1" s="1"/>
  <c r="N73" i="1" s="1"/>
  <c r="J72" i="1"/>
  <c r="J70" i="1"/>
  <c r="K70" i="1" s="1"/>
  <c r="N70" i="1" s="1"/>
  <c r="J69" i="1"/>
  <c r="J67" i="1"/>
  <c r="K67" i="1" s="1"/>
  <c r="N67" i="1" s="1"/>
  <c r="J64" i="1"/>
  <c r="K64" i="1" s="1"/>
  <c r="N64" i="1" s="1"/>
  <c r="J63" i="1"/>
  <c r="J61" i="1"/>
  <c r="K61" i="1" s="1"/>
  <c r="N61" i="1" s="1"/>
  <c r="J60" i="1"/>
  <c r="J58" i="1"/>
  <c r="K58" i="1" s="1"/>
  <c r="N58" i="1" s="1"/>
  <c r="J57" i="1"/>
  <c r="K57" i="1" s="1"/>
  <c r="J55" i="1"/>
  <c r="K55" i="1" s="1"/>
  <c r="N55" i="1" s="1"/>
  <c r="J54" i="1"/>
  <c r="N54" i="1" s="1"/>
  <c r="J51" i="1"/>
  <c r="J52" i="1"/>
  <c r="K52" i="1" s="1"/>
  <c r="D76" i="1"/>
  <c r="F76" i="1"/>
  <c r="H76" i="1"/>
  <c r="J80" i="1"/>
  <c r="K80" i="1" s="1"/>
  <c r="J79" i="1"/>
  <c r="J83" i="1"/>
  <c r="K83" i="1" s="1"/>
  <c r="N83" i="1" s="1"/>
  <c r="J99" i="1"/>
  <c r="K99" i="1" s="1"/>
  <c r="N99" i="1" s="1"/>
  <c r="J98" i="1"/>
  <c r="J96" i="1"/>
  <c r="J95" i="1"/>
  <c r="K95" i="1" s="1"/>
  <c r="J93" i="1"/>
  <c r="K93" i="1" s="1"/>
  <c r="N93" i="1" s="1"/>
  <c r="K92" i="1"/>
  <c r="N92" i="1" s="1"/>
  <c r="J89" i="1"/>
  <c r="J90" i="1"/>
  <c r="G132" i="1"/>
  <c r="D136" i="1"/>
  <c r="E136" i="1"/>
  <c r="F136" i="1"/>
  <c r="G136" i="1"/>
  <c r="H136" i="1"/>
  <c r="I136" i="1"/>
  <c r="J136" i="1"/>
  <c r="K136" i="1"/>
  <c r="B136" i="1"/>
  <c r="B124" i="1"/>
  <c r="D121" i="1"/>
  <c r="F121" i="1"/>
  <c r="H121" i="1"/>
  <c r="B121" i="1"/>
  <c r="D118" i="1"/>
  <c r="F118" i="1"/>
  <c r="G118" i="1"/>
  <c r="H118" i="1"/>
  <c r="I118" i="1"/>
  <c r="B118" i="1"/>
  <c r="D115" i="1"/>
  <c r="F115" i="1"/>
  <c r="G115" i="1"/>
  <c r="H115" i="1"/>
  <c r="B115" i="1"/>
  <c r="D105" i="1"/>
  <c r="F105" i="1"/>
  <c r="H105" i="1"/>
  <c r="D106" i="1"/>
  <c r="F106" i="1"/>
  <c r="H106" i="1"/>
  <c r="J126" i="1"/>
  <c r="K126" i="1" s="1"/>
  <c r="N126" i="1" s="1"/>
  <c r="J125" i="1"/>
  <c r="J123" i="1"/>
  <c r="K123" i="1" s="1"/>
  <c r="J122" i="1"/>
  <c r="J120" i="1"/>
  <c r="J119" i="1"/>
  <c r="J117" i="1"/>
  <c r="J116" i="1"/>
  <c r="J109" i="1" s="1"/>
  <c r="D97" i="1"/>
  <c r="F97" i="1"/>
  <c r="G97" i="1"/>
  <c r="H97" i="1"/>
  <c r="I97" i="1"/>
  <c r="B97" i="1"/>
  <c r="F101" i="1"/>
  <c r="F86" i="1"/>
  <c r="F102" i="1" s="1"/>
  <c r="C97" i="1"/>
  <c r="C17" i="1"/>
  <c r="C16" i="1"/>
  <c r="C48" i="1"/>
  <c r="N48" i="1" s="1"/>
  <c r="K56" i="1" l="1"/>
  <c r="N56" i="1" s="1"/>
  <c r="C84" i="1"/>
  <c r="N52" i="1"/>
  <c r="J110" i="1"/>
  <c r="J106" i="1" s="1"/>
  <c r="C132" i="1"/>
  <c r="N80" i="1"/>
  <c r="E18" i="1"/>
  <c r="C108" i="1"/>
  <c r="I18" i="1"/>
  <c r="N23" i="1"/>
  <c r="E108" i="1"/>
  <c r="I74" i="1"/>
  <c r="K119" i="1"/>
  <c r="E15" i="1"/>
  <c r="E74" i="1"/>
  <c r="K116" i="1"/>
  <c r="K90" i="1"/>
  <c r="J86" i="1"/>
  <c r="N57" i="1"/>
  <c r="N25" i="1"/>
  <c r="K117" i="1"/>
  <c r="J85" i="1"/>
  <c r="J101" i="1" s="1"/>
  <c r="N43" i="1"/>
  <c r="G18" i="1"/>
  <c r="C74" i="1"/>
  <c r="N20" i="1"/>
  <c r="N76" i="1"/>
  <c r="K79" i="1"/>
  <c r="N95" i="1"/>
  <c r="G100" i="1"/>
  <c r="N97" i="1"/>
  <c r="K22" i="1"/>
  <c r="N31" i="1"/>
  <c r="I104" i="1"/>
  <c r="I84" i="1"/>
  <c r="I100" i="1"/>
  <c r="J121" i="1"/>
  <c r="N53" i="1"/>
  <c r="D152" i="1"/>
  <c r="E84" i="1"/>
  <c r="N133" i="1"/>
  <c r="J19" i="1"/>
  <c r="J18" i="1" s="1"/>
  <c r="K91" i="1"/>
  <c r="N91" i="1" s="1"/>
  <c r="K97" i="1"/>
  <c r="B152" i="1"/>
  <c r="N16" i="1"/>
  <c r="N17" i="1"/>
  <c r="B153" i="1"/>
  <c r="D74" i="1"/>
  <c r="H152" i="1"/>
  <c r="F152" i="1"/>
  <c r="K53" i="1"/>
  <c r="H153" i="1"/>
  <c r="C40" i="1"/>
  <c r="D153" i="1"/>
  <c r="F153" i="1"/>
  <c r="J97" i="1"/>
  <c r="H74" i="1"/>
  <c r="J124" i="1"/>
  <c r="K125" i="1"/>
  <c r="N125" i="1" s="1"/>
  <c r="J81" i="1"/>
  <c r="K82" i="1"/>
  <c r="J50" i="1"/>
  <c r="K51" i="1"/>
  <c r="J78" i="1"/>
  <c r="J88" i="1"/>
  <c r="J62" i="1"/>
  <c r="K63" i="1"/>
  <c r="J71" i="1"/>
  <c r="K72" i="1"/>
  <c r="K71" i="1" s="1"/>
  <c r="N71" i="1" s="1"/>
  <c r="J56" i="1"/>
  <c r="F74" i="1"/>
  <c r="N136" i="1"/>
  <c r="J94" i="1"/>
  <c r="K96" i="1"/>
  <c r="J65" i="1"/>
  <c r="K66" i="1"/>
  <c r="J91" i="1"/>
  <c r="K122" i="1"/>
  <c r="J53" i="1"/>
  <c r="J75" i="1"/>
  <c r="K89" i="1"/>
  <c r="J59" i="1"/>
  <c r="K60" i="1"/>
  <c r="J68" i="1"/>
  <c r="K69" i="1"/>
  <c r="N69" i="1" s="1"/>
  <c r="K47" i="1"/>
  <c r="J46" i="1"/>
  <c r="G84" i="1"/>
  <c r="C46" i="1"/>
  <c r="C28" i="1"/>
  <c r="C34" i="1"/>
  <c r="N34" i="1" s="1"/>
  <c r="J22" i="1"/>
  <c r="J40" i="1"/>
  <c r="K41" i="1"/>
  <c r="J102" i="1"/>
  <c r="H84" i="1"/>
  <c r="F84" i="1"/>
  <c r="D84" i="1"/>
  <c r="B84" i="1"/>
  <c r="B22" i="1"/>
  <c r="B18" i="1"/>
  <c r="J76" i="1"/>
  <c r="J115" i="1"/>
  <c r="B104" i="1"/>
  <c r="D104" i="1"/>
  <c r="J118" i="1"/>
  <c r="I108" i="1"/>
  <c r="F104" i="1"/>
  <c r="H104" i="1"/>
  <c r="F108" i="1"/>
  <c r="H108" i="1"/>
  <c r="J105" i="1"/>
  <c r="B108" i="1"/>
  <c r="B100" i="1"/>
  <c r="D100" i="1"/>
  <c r="D108" i="1"/>
  <c r="H100" i="1"/>
  <c r="F100" i="1"/>
  <c r="E148" i="1"/>
  <c r="C148" i="1"/>
  <c r="K59" i="1" l="1"/>
  <c r="N59" i="1" s="1"/>
  <c r="N60" i="1"/>
  <c r="N40" i="1"/>
  <c r="C104" i="1"/>
  <c r="N89" i="1"/>
  <c r="K50" i="1"/>
  <c r="N119" i="1"/>
  <c r="N106" i="1"/>
  <c r="N117" i="1"/>
  <c r="N116" i="1"/>
  <c r="N115" i="1" s="1"/>
  <c r="K62" i="1"/>
  <c r="K81" i="1"/>
  <c r="N28" i="1"/>
  <c r="N122" i="1"/>
  <c r="K101" i="1"/>
  <c r="N79" i="1"/>
  <c r="K102" i="1"/>
  <c r="K118" i="1"/>
  <c r="N118" i="1" s="1"/>
  <c r="E104" i="1"/>
  <c r="K78" i="1"/>
  <c r="N78" i="1" s="1"/>
  <c r="K40" i="1"/>
  <c r="K115" i="1"/>
  <c r="C18" i="1"/>
  <c r="K46" i="1"/>
  <c r="N96" i="1"/>
  <c r="N72" i="1"/>
  <c r="N66" i="1"/>
  <c r="C100" i="1"/>
  <c r="K65" i="1"/>
  <c r="N63" i="1"/>
  <c r="K94" i="1"/>
  <c r="N90" i="1"/>
  <c r="E100" i="1"/>
  <c r="N51" i="1"/>
  <c r="N82" i="1"/>
  <c r="K121" i="1"/>
  <c r="K88" i="1"/>
  <c r="N41" i="1"/>
  <c r="K68" i="1"/>
  <c r="B151" i="1"/>
  <c r="H151" i="1"/>
  <c r="J153" i="1"/>
  <c r="F151" i="1"/>
  <c r="N132" i="1"/>
  <c r="N47" i="1"/>
  <c r="J74" i="1"/>
  <c r="C22" i="1"/>
  <c r="N22" i="1" s="1"/>
  <c r="J108" i="1"/>
  <c r="J152" i="1"/>
  <c r="J84" i="1"/>
  <c r="D151" i="1"/>
  <c r="J104" i="1"/>
  <c r="K108" i="1" l="1"/>
  <c r="K84" i="1"/>
  <c r="N84" i="1" s="1"/>
  <c r="K74" i="1"/>
  <c r="N75" i="1"/>
  <c r="N74" i="1" s="1"/>
  <c r="N109" i="1"/>
  <c r="N50" i="1"/>
  <c r="N94" i="1"/>
  <c r="N65" i="1"/>
  <c r="N46" i="1"/>
  <c r="N81" i="1"/>
  <c r="N62" i="1"/>
  <c r="N121" i="1"/>
  <c r="N85" i="1"/>
  <c r="N68" i="1"/>
  <c r="N19" i="1"/>
  <c r="N88" i="1"/>
  <c r="N86" i="1"/>
  <c r="K18" i="1"/>
  <c r="J100" i="1"/>
  <c r="J151" i="1"/>
  <c r="K148" i="1"/>
  <c r="N148" i="1" l="1"/>
  <c r="N102" i="1"/>
  <c r="N101" i="1"/>
  <c r="N108" i="1"/>
  <c r="N105" i="1"/>
  <c r="K104" i="1"/>
  <c r="N104" i="1" s="1"/>
  <c r="K100" i="1"/>
  <c r="N100" i="1" l="1"/>
  <c r="Q15" i="2"/>
  <c r="R13" i="2"/>
  <c r="R11" i="2"/>
  <c r="P6" i="2"/>
  <c r="P5" i="2"/>
  <c r="P4" i="2"/>
  <c r="R4" i="2" l="1"/>
  <c r="R6" i="2"/>
  <c r="R5" i="2"/>
  <c r="J15" i="1"/>
  <c r="H15" i="1"/>
  <c r="F15" i="1"/>
  <c r="D15" i="1"/>
  <c r="B15" i="1"/>
  <c r="J128" i="1"/>
  <c r="D128" i="1"/>
  <c r="B128" i="1"/>
  <c r="R15" i="2" l="1"/>
  <c r="R16" i="2"/>
  <c r="R3" i="2"/>
  <c r="R7" i="2" s="1"/>
  <c r="R8" i="2" s="1"/>
  <c r="P3" i="2"/>
  <c r="P7" i="2" s="1"/>
  <c r="P8" i="2" s="1"/>
  <c r="K129" i="1"/>
  <c r="K151" i="1" s="1"/>
  <c r="I129" i="1"/>
  <c r="N152" i="1" s="1"/>
  <c r="E130" i="1"/>
  <c r="K130" i="1"/>
  <c r="I130" i="1"/>
  <c r="N129" i="1" l="1"/>
  <c r="N130" i="1"/>
  <c r="X15" i="2"/>
  <c r="T16" i="2"/>
  <c r="T7" i="2"/>
  <c r="X16" i="2"/>
  <c r="T8" i="2"/>
  <c r="E128" i="1"/>
  <c r="G15" i="1"/>
  <c r="I128" i="1"/>
  <c r="G128" i="1"/>
  <c r="C15" i="1"/>
  <c r="K128" i="1"/>
  <c r="E151" i="1" l="1"/>
  <c r="N128" i="1"/>
  <c r="I151" i="1"/>
  <c r="N15" i="1"/>
  <c r="Z17" i="2"/>
  <c r="X17" i="2"/>
</calcChain>
</file>

<file path=xl/sharedStrings.xml><?xml version="1.0" encoding="utf-8"?>
<sst xmlns="http://schemas.openxmlformats.org/spreadsheetml/2006/main" count="233" uniqueCount="105">
  <si>
    <t>Наименование объектов</t>
  </si>
  <si>
    <t>Электроэнергия</t>
  </si>
  <si>
    <t>Отопление</t>
  </si>
  <si>
    <t xml:space="preserve">ГВС                 </t>
  </si>
  <si>
    <t>Холодная вода</t>
  </si>
  <si>
    <t>Водоотведение</t>
  </si>
  <si>
    <t>Гкал.</t>
  </si>
  <si>
    <t>тыс.</t>
  </si>
  <si>
    <t>руб.</t>
  </si>
  <si>
    <t>куб. м.</t>
  </si>
  <si>
    <t>МУНИЦИПАЛЬНОЕ УПРАВЛЕНИЕ</t>
  </si>
  <si>
    <t>ВСЕГО:</t>
  </si>
  <si>
    <t>ОБРАЗОВАНИЕ</t>
  </si>
  <si>
    <t>в том числе:</t>
  </si>
  <si>
    <t>КУЛЬТУРА</t>
  </si>
  <si>
    <t>СРЕДСТВА МАССОВОЙ ИНФОРМАЦИИ</t>
  </si>
  <si>
    <t>ПРОЧИЕ</t>
  </si>
  <si>
    <t>п. Стекольный</t>
  </si>
  <si>
    <t>п. Атка</t>
  </si>
  <si>
    <t>п. Талая</t>
  </si>
  <si>
    <t>Итого, тыс. руб.</t>
  </si>
  <si>
    <t>кВт/час</t>
  </si>
  <si>
    <t>п. Палатка</t>
  </si>
  <si>
    <t>1 полугодие</t>
  </si>
  <si>
    <t>ВСЕГО ПО ОКРУГУ:</t>
  </si>
  <si>
    <t>№ п/п</t>
  </si>
  <si>
    <t>Наименование показателя</t>
  </si>
  <si>
    <t>Населенный пункт</t>
  </si>
  <si>
    <t>1.</t>
  </si>
  <si>
    <t>Тепловая энергия</t>
  </si>
  <si>
    <t>с. Хасын</t>
  </si>
  <si>
    <t>1 полугодие (без НДС)</t>
  </si>
  <si>
    <t>2 полугодие (без НДС)</t>
  </si>
  <si>
    <t>1 полугодие (с НДС)</t>
  </si>
  <si>
    <t>2 полугодие (с НДС)</t>
  </si>
  <si>
    <t>2.</t>
  </si>
  <si>
    <t>Водоснабжение (Холодная вода)</t>
  </si>
  <si>
    <t>3.</t>
  </si>
  <si>
    <t>Водоотведение (Вывоз ЖБО)</t>
  </si>
  <si>
    <t>4.</t>
  </si>
  <si>
    <t>Электроснабжение (ДЭС)</t>
  </si>
  <si>
    <t>тыс.      руб.</t>
  </si>
  <si>
    <t>СПОРТ</t>
  </si>
  <si>
    <t>2 полугодие</t>
  </si>
  <si>
    <t>палатка</t>
  </si>
  <si>
    <t>тыс. руб.</t>
  </si>
  <si>
    <t>Фонтаны, водопад</t>
  </si>
  <si>
    <t>Палатка</t>
  </si>
  <si>
    <t>хасын</t>
  </si>
  <si>
    <t>атка</t>
  </si>
  <si>
    <t>талая</t>
  </si>
  <si>
    <t>год</t>
  </si>
  <si>
    <t xml:space="preserve">СТЕКОЛЬНЫЙ </t>
  </si>
  <si>
    <t xml:space="preserve">2 полугодие </t>
  </si>
  <si>
    <t xml:space="preserve">управляйка </t>
  </si>
  <si>
    <t>магаданэнерго</t>
  </si>
  <si>
    <t>стек.</t>
  </si>
  <si>
    <t>всего</t>
  </si>
  <si>
    <t>итого</t>
  </si>
  <si>
    <t>ИТОГ ГОД</t>
  </si>
  <si>
    <t>1 полуг</t>
  </si>
  <si>
    <t>2 полуг</t>
  </si>
  <si>
    <t>вывоз ТКО</t>
  </si>
  <si>
    <t>Вывоз ТКО</t>
  </si>
  <si>
    <t>п. Хасын</t>
  </si>
  <si>
    <t>Лимиты потребления энергоресурсов и коммунальных услуг на 2025 год</t>
  </si>
  <si>
    <t>Тарифы на 2025 год</t>
  </si>
  <si>
    <t>Здание Администрации Хасынского муниципального округа Магаданской области , п. Палатка, ул. Ленина, д. 76</t>
  </si>
  <si>
    <t xml:space="preserve">Отдел ЗАГС Администрации Хасынского муниципального округа Магаданской области, п. Палатка, ул. Космонавтов, д. 11  </t>
  </si>
  <si>
    <t>Муниципальное бюджетное учреждение культуры «Хасынская централизованная библиотечная система», п. Палатка, ул. Юбилейная, д. 10</t>
  </si>
  <si>
    <t>Центральная библиотека                        п. Палатка, ул. Юбилейная, д. 10</t>
  </si>
  <si>
    <t>Библиотека-филиал № 2 п. Талая</t>
  </si>
  <si>
    <t>Пункт выдачи в п. Хасын</t>
  </si>
  <si>
    <t>Муниципальное казенное учреждение Физкультурно-оздоровительный комплекс с плавательным бассейном «Арбат»,
п. Палатка, ул. Почтовая, д. 4</t>
  </si>
  <si>
    <t>Комитет по управлению муниципальным имуществом Хасынского 
муниципального округа Магаданской области                                  (пустующий жилфонд)</t>
  </si>
  <si>
    <t>Муниципальное казенное учреждение «Централизованная бухгалтерия 
Хасынского муниципального округа Магаданской области»
п. Палатка, ул. Ленина, 74</t>
  </si>
  <si>
    <t>Территориальный отдел п. Талая Администрации Хасынского 
муниципального округа Магаданской области
п. Талая, ул. Зеленая, 6</t>
  </si>
  <si>
    <t>Муниципальное бюджетное учреждение дополнительного образования 
«Хасынская спортивная школа» п. Палатка, ул. Почтовая, д. 1</t>
  </si>
  <si>
    <t>Муниципальное бюджетное учреждение дополнительного образования 
«Хасынская спортивная школа»
п. Палатка</t>
  </si>
  <si>
    <t>Муниципальное казенное учреждение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</si>
  <si>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Здание Муниципального казенного учреждения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</si>
  <si>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Собрание представителей Хасынского муниципального округа Магаданской области, п. Палатка,  ул. Центральная, д. 24</t>
  </si>
  <si>
    <t>Территориальный отдел                       п. Стекольный Администрации 
Хасынского муниципального округа Магаданской области
п. Стекольный, ул. Советская, 5</t>
  </si>
  <si>
    <t>Баня , п. Палатка, ул. Пионерская,               д. 24</t>
  </si>
  <si>
    <t>Гаражи (п. Палатка: ул. Юбилейная, 21, 25, ул. Школьная, 5,                                          ул. Юбилейная, 16,                                        ул. Ленина, 74, 76)</t>
  </si>
  <si>
    <t>Муниципальное бюджетное дошкольное образовательное учреждение «Детский сад № 1»,                    п. Палатка, ул. Юбилейная, д. 16а</t>
  </si>
  <si>
    <t xml:space="preserve">Муниципальное бюджетное дошкольное образовательное учреждение «Светлячок»,               п. Стекольный, ул. Зеленая, д. 18        </t>
  </si>
  <si>
    <t>Муниципальное бюджетное дошкольное образовательное учреждение «Детский сад» п. Хасын, ул. Геологов, д. 39</t>
  </si>
  <si>
    <t xml:space="preserve">Муниципальное бюджетное образовательное учреждение «СОШ № 1» п. Палатка, ул. Ленина, д. 44                         </t>
  </si>
  <si>
    <t>Муниципальное бюджетное образовательное учреждение «СОШ № 2» п. Палатка, ул. Ленина д. 1</t>
  </si>
  <si>
    <t>Муниципальное бюджетное образовательное учреждение «СОШ» п. Стекольный, ул. Советская, д. 10</t>
  </si>
  <si>
    <t>Муниципальное бюджетное образовательное учреждение «СОШ» п. Талая, ул. Зеленая, д.4</t>
  </si>
  <si>
    <t>Муниципальное бюджетное учреждение дополнительного образования «Хасынский центр детского творчества», п. Палатка, ул. Школьная, д.7</t>
  </si>
  <si>
    <t>Муниципальное бюджетное учреждение культуры «Дом культуры Хасынского муниципального округа Магаданской области», п. Палатка, ул. Ленина, д.80</t>
  </si>
  <si>
    <t>Муниципальное бюджетное учреждение культуры «Дом культуры пос. Стекольный»,                    п. Стекольный, ул. Советская, д. 7</t>
  </si>
  <si>
    <t>Библиотека-филиал № 1                               п. Стекольный</t>
  </si>
  <si>
    <t>Муниципальное казенное учреждение «Физкультурно-оздоровительный комплекс «Олимп», п. Палатка,                                        ул. Почтовая, д. 7</t>
  </si>
  <si>
    <t xml:space="preserve">Муниципальное автономное учреждение «Редакция газеты «Заря Севера» Хасынского муниципального округа»,                        п. Палатка, ул. Центральная, д. 30                                              </t>
  </si>
  <si>
    <t>Муниципальное бюджетное учреждение дополнительного образования 
«Хасынская спортивная школа» п. Палатка, ул. Ленина, д. 74</t>
  </si>
  <si>
    <t xml:space="preserve"> Муниципальное бюджетное учреждение дополнительного образования 
«Хасынская спортивная школа» п. Хасын</t>
  </si>
  <si>
    <t xml:space="preserve"> к постановлению Администрации</t>
  </si>
  <si>
    <t xml:space="preserve">     Хасынского муниципального </t>
  </si>
  <si>
    <t xml:space="preserve">      округа Магаданской области</t>
  </si>
  <si>
    <t xml:space="preserve">      от _____________ № ____</t>
  </si>
  <si>
    <t xml:space="preserve">                  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</si>
</sst>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2" borderId="0" applyNumberFormat="0" applyBorder="0" applyAlignment="0" applyProtection="0"/>
    <xf numFmtId="0" fontId="14" fillId="0" borderId="0" applyFont="0"/>
  </cellStyleXfs>
  <cellXfs count="117">
    <xf numFmtId="0" fontId="0" fillId="0" borderId="0" xfId="0"/>
    <xf numFmtId="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0" xfId="0" applyFont="1"/>
    <xf numFmtId="0" fontId="2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3" borderId="19" xfId="0" applyNumberFormat="1" applyFont="1" applyFill="1" applyBorder="1" applyAlignment="1">
      <alignment horizontal="center" vertical="center"/>
    </xf>
    <xf numFmtId="165" fontId="4" fillId="3" borderId="30" xfId="0" applyNumberFormat="1" applyFont="1" applyFill="1" applyBorder="1" applyAlignment="1">
      <alignment horizontal="center" vertical="center"/>
    </xf>
    <xf numFmtId="165" fontId="2" fillId="3" borderId="28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4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7" fillId="4" borderId="24" xfId="0" applyNumberFormat="1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165" fontId="7" fillId="4" borderId="29" xfId="0" applyNumberFormat="1" applyFont="1" applyFill="1" applyBorder="1" applyAlignment="1">
      <alignment horizontal="center" vertical="center"/>
    </xf>
    <xf numFmtId="165" fontId="7" fillId="4" borderId="8" xfId="0" applyNumberFormat="1" applyFont="1" applyFill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165" fontId="2" fillId="3" borderId="34" xfId="0" applyNumberFormat="1" applyFont="1" applyFill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165" fontId="4" fillId="6" borderId="3" xfId="0" applyNumberFormat="1" applyFont="1" applyFill="1" applyBorder="1" applyAlignment="1">
      <alignment horizontal="center" vertical="center"/>
    </xf>
    <xf numFmtId="165" fontId="8" fillId="6" borderId="20" xfId="0" applyNumberFormat="1" applyFont="1" applyFill="1" applyBorder="1" applyAlignment="1">
      <alignment horizontal="center" vertical="center"/>
    </xf>
    <xf numFmtId="165" fontId="8" fillId="6" borderId="31" xfId="0" applyNumberFormat="1" applyFont="1" applyFill="1" applyBorder="1" applyAlignment="1">
      <alignment horizontal="center" vertical="center"/>
    </xf>
    <xf numFmtId="165" fontId="8" fillId="6" borderId="32" xfId="0" applyNumberFormat="1" applyFont="1" applyFill="1" applyBorder="1" applyAlignment="1">
      <alignment horizontal="center" vertical="center"/>
    </xf>
    <xf numFmtId="165" fontId="4" fillId="6" borderId="21" xfId="0" applyNumberFormat="1" applyFont="1" applyFill="1" applyBorder="1" applyAlignment="1">
      <alignment horizontal="center" vertical="center"/>
    </xf>
    <xf numFmtId="165" fontId="4" fillId="6" borderId="20" xfId="0" applyNumberFormat="1" applyFont="1" applyFill="1" applyBorder="1" applyAlignment="1">
      <alignment horizontal="center" vertical="center"/>
    </xf>
    <xf numFmtId="165" fontId="4" fillId="6" borderId="31" xfId="0" applyNumberFormat="1" applyFont="1" applyFill="1" applyBorder="1" applyAlignment="1">
      <alignment horizontal="center" vertical="center"/>
    </xf>
    <xf numFmtId="165" fontId="4" fillId="6" borderId="13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/>
    <xf numFmtId="164" fontId="10" fillId="0" borderId="0" xfId="0" applyNumberFormat="1" applyFont="1" applyFill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/>
    </xf>
    <xf numFmtId="165" fontId="11" fillId="0" borderId="11" xfId="0" applyNumberFormat="1" applyFont="1" applyFill="1" applyBorder="1" applyAlignment="1">
      <alignment horizontal="center" vertical="center" wrapText="1" shrinkToFit="1"/>
    </xf>
    <xf numFmtId="165" fontId="10" fillId="0" borderId="6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 shrinkToFit="1"/>
    </xf>
    <xf numFmtId="165" fontId="10" fillId="0" borderId="11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 wrapText="1"/>
    </xf>
    <xf numFmtId="165" fontId="11" fillId="0" borderId="11" xfId="1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164" fontId="13" fillId="0" borderId="0" xfId="0" applyNumberFormat="1" applyFont="1" applyFill="1" applyAlignment="1">
      <alignment horizontal="center" vertical="center" wrapText="1"/>
    </xf>
    <xf numFmtId="164" fontId="15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/>
    <xf numFmtId="165" fontId="12" fillId="0" borderId="0" xfId="0" applyNumberFormat="1" applyFont="1" applyFill="1"/>
    <xf numFmtId="164" fontId="16" fillId="0" borderId="0" xfId="0" applyNumberFormat="1" applyFont="1" applyFill="1"/>
    <xf numFmtId="164" fontId="11" fillId="0" borderId="0" xfId="0" applyNumberFormat="1" applyFont="1" applyFill="1" applyAlignment="1">
      <alignment horizontal="center" vertical="center"/>
    </xf>
    <xf numFmtId="164" fontId="16" fillId="0" borderId="2" xfId="0" applyNumberFormat="1" applyFont="1" applyFill="1" applyBorder="1"/>
    <xf numFmtId="165" fontId="12" fillId="0" borderId="2" xfId="0" applyNumberFormat="1" applyFont="1" applyFill="1" applyBorder="1"/>
    <xf numFmtId="164" fontId="13" fillId="0" borderId="2" xfId="0" applyNumberFormat="1" applyFont="1" applyFill="1" applyBorder="1" applyAlignment="1">
      <alignment horizontal="center" vertical="center"/>
    </xf>
    <xf numFmtId="164" fontId="12" fillId="0" borderId="0" xfId="1" applyNumberFormat="1" applyFont="1" applyFill="1"/>
    <xf numFmtId="164" fontId="10" fillId="0" borderId="0" xfId="0" applyNumberFormat="1" applyFont="1" applyFill="1"/>
    <xf numFmtId="164" fontId="13" fillId="0" borderId="21" xfId="0" applyNumberFormat="1" applyFont="1" applyFill="1" applyBorder="1"/>
    <xf numFmtId="165" fontId="12" fillId="0" borderId="21" xfId="0" applyNumberFormat="1" applyFont="1" applyFill="1" applyBorder="1"/>
    <xf numFmtId="164" fontId="13" fillId="0" borderId="0" xfId="0" applyNumberFormat="1" applyFont="1" applyFill="1"/>
    <xf numFmtId="164" fontId="12" fillId="0" borderId="0" xfId="0" applyNumberFormat="1" applyFont="1" applyFill="1" applyAlignment="1">
      <alignment horizontal="left"/>
    </xf>
    <xf numFmtId="164" fontId="13" fillId="0" borderId="2" xfId="0" applyNumberFormat="1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center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Fill="1" applyBorder="1" applyAlignment="1">
      <alignment horizontal="center" vertical="center" wrapText="1"/>
    </xf>
    <xf numFmtId="165" fontId="10" fillId="0" borderId="12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left" vertical="center" wrapText="1"/>
    </xf>
    <xf numFmtId="165" fontId="10" fillId="0" borderId="15" xfId="0" applyNumberFormat="1" applyFont="1" applyFill="1" applyBorder="1" applyAlignment="1">
      <alignment horizontal="left" vertical="center" wrapText="1"/>
    </xf>
    <xf numFmtId="165" fontId="10" fillId="0" borderId="12" xfId="0" applyNumberFormat="1" applyFont="1" applyFill="1" applyBorder="1" applyAlignment="1">
      <alignment horizontal="left" vertical="center" wrapText="1"/>
    </xf>
    <xf numFmtId="164" fontId="10" fillId="0" borderId="14" xfId="0" applyNumberFormat="1" applyFont="1" applyFill="1" applyBorder="1" applyAlignment="1">
      <alignment horizontal="center" vertical="center" wrapText="1"/>
    </xf>
    <xf numFmtId="164" fontId="10" fillId="0" borderId="18" xfId="0" applyNumberFormat="1" applyFont="1" applyFill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  <xf numFmtId="164" fontId="10" fillId="0" borderId="15" xfId="0" applyNumberFormat="1" applyFont="1" applyFill="1" applyBorder="1" applyAlignment="1">
      <alignment horizontal="center" vertical="center" wrapText="1"/>
    </xf>
    <xf numFmtId="164" fontId="10" fillId="0" borderId="12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4" fontId="10" fillId="0" borderId="16" xfId="0" applyNumberFormat="1" applyFont="1" applyFill="1" applyBorder="1" applyAlignment="1">
      <alignment horizontal="center" vertical="center" wrapText="1"/>
    </xf>
    <xf numFmtId="164" fontId="10" fillId="0" borderId="17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1"/>
  <sheetViews>
    <sheetView tabSelected="1" topLeftCell="A121" zoomScale="90" zoomScaleNormal="90" workbookViewId="0">
      <selection activeCell="Q43" sqref="Q1:Q1048576"/>
    </sheetView>
  </sheetViews>
  <sheetFormatPr defaultRowHeight="18.75" x14ac:dyDescent="0.3"/>
  <cols>
    <col min="1" max="1" width="38.85546875" style="70" customWidth="1"/>
    <col min="2" max="2" width="11.7109375" style="71" customWidth="1"/>
    <col min="3" max="3" width="10.7109375" style="71" customWidth="1"/>
    <col min="4" max="4" width="12" style="71" customWidth="1"/>
    <col min="5" max="5" width="13" style="71" customWidth="1"/>
    <col min="6" max="6" width="11.5703125" style="71" customWidth="1"/>
    <col min="7" max="7" width="11.7109375" style="71" customWidth="1"/>
    <col min="8" max="8" width="11.5703125" style="71" customWidth="1"/>
    <col min="9" max="9" width="10.42578125" style="71" customWidth="1"/>
    <col min="10" max="10" width="12.140625" style="71" customWidth="1"/>
    <col min="11" max="11" width="10.85546875" style="71" customWidth="1"/>
    <col min="12" max="12" width="9" style="71" customWidth="1"/>
    <col min="13" max="13" width="11.7109375" style="71" customWidth="1"/>
    <col min="14" max="14" width="18.28515625" style="71" customWidth="1"/>
    <col min="15" max="15" width="9.7109375" style="71" customWidth="1"/>
    <col min="16" max="16" width="21" style="75" customWidth="1"/>
    <col min="17" max="17" width="16" style="76" customWidth="1"/>
    <col min="18" max="18" width="14" style="71" customWidth="1"/>
    <col min="19" max="19" width="25.7109375" style="71" customWidth="1"/>
    <col min="20" max="16384" width="9.140625" style="71"/>
  </cols>
  <sheetData>
    <row r="1" spans="1:17" x14ac:dyDescent="0.3">
      <c r="L1" s="83" t="s">
        <v>104</v>
      </c>
      <c r="M1" s="83"/>
      <c r="N1" s="83"/>
      <c r="P1" s="49"/>
      <c r="Q1" s="72"/>
    </row>
    <row r="2" spans="1:17" x14ac:dyDescent="0.3">
      <c r="L2" s="71" t="s">
        <v>100</v>
      </c>
      <c r="P2" s="49"/>
      <c r="Q2" s="72"/>
    </row>
    <row r="3" spans="1:17" x14ac:dyDescent="0.3">
      <c r="L3" s="71" t="s">
        <v>101</v>
      </c>
      <c r="P3" s="49"/>
      <c r="Q3" s="72"/>
    </row>
    <row r="4" spans="1:17" x14ac:dyDescent="0.3">
      <c r="L4" s="71" t="s">
        <v>102</v>
      </c>
      <c r="P4" s="49"/>
      <c r="Q4" s="72"/>
    </row>
    <row r="5" spans="1:17" ht="21" customHeight="1" x14ac:dyDescent="0.3">
      <c r="L5" s="71" t="s">
        <v>103</v>
      </c>
      <c r="P5" s="49"/>
      <c r="Q5" s="72"/>
    </row>
    <row r="6" spans="1:17" ht="15" customHeight="1" x14ac:dyDescent="0.3">
      <c r="P6" s="73"/>
      <c r="Q6" s="72"/>
    </row>
    <row r="7" spans="1:17" ht="15.75" customHeight="1" x14ac:dyDescent="0.3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P7" s="73"/>
      <c r="Q7" s="72"/>
    </row>
    <row r="8" spans="1:17" ht="15.75" customHeight="1" x14ac:dyDescent="0.3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P8" s="73"/>
      <c r="Q8" s="72"/>
    </row>
    <row r="9" spans="1:17" ht="15" customHeight="1" thickBot="1" x14ac:dyDescent="0.35">
      <c r="H9" s="99"/>
      <c r="I9" s="99"/>
      <c r="J9" s="99"/>
      <c r="K9" s="99"/>
      <c r="L9" s="99"/>
      <c r="M9" s="99"/>
      <c r="N9" s="99"/>
      <c r="P9" s="73"/>
      <c r="Q9" s="72"/>
    </row>
    <row r="10" spans="1:17" ht="21" customHeight="1" thickBot="1" x14ac:dyDescent="0.35">
      <c r="A10" s="92" t="s">
        <v>0</v>
      </c>
      <c r="B10" s="95" t="s">
        <v>1</v>
      </c>
      <c r="C10" s="96"/>
      <c r="D10" s="95" t="s">
        <v>2</v>
      </c>
      <c r="E10" s="97"/>
      <c r="F10" s="95" t="s">
        <v>3</v>
      </c>
      <c r="G10" s="97"/>
      <c r="H10" s="95" t="s">
        <v>4</v>
      </c>
      <c r="I10" s="97"/>
      <c r="J10" s="95" t="s">
        <v>5</v>
      </c>
      <c r="K10" s="97"/>
      <c r="L10" s="95" t="s">
        <v>62</v>
      </c>
      <c r="M10" s="97"/>
      <c r="N10" s="92" t="s">
        <v>20</v>
      </c>
      <c r="P10" s="84"/>
      <c r="Q10" s="85"/>
    </row>
    <row r="11" spans="1:17" ht="15" customHeight="1" x14ac:dyDescent="0.3">
      <c r="A11" s="93"/>
      <c r="B11" s="51" t="s">
        <v>7</v>
      </c>
      <c r="C11" s="100" t="s">
        <v>41</v>
      </c>
      <c r="D11" s="92" t="s">
        <v>6</v>
      </c>
      <c r="E11" s="51" t="s">
        <v>7</v>
      </c>
      <c r="F11" s="92" t="s">
        <v>6</v>
      </c>
      <c r="G11" s="51" t="s">
        <v>7</v>
      </c>
      <c r="H11" s="92" t="s">
        <v>9</v>
      </c>
      <c r="I11" s="51" t="s">
        <v>7</v>
      </c>
      <c r="J11" s="92" t="s">
        <v>9</v>
      </c>
      <c r="K11" s="51" t="s">
        <v>7</v>
      </c>
      <c r="L11" s="92" t="s">
        <v>9</v>
      </c>
      <c r="M11" s="92" t="s">
        <v>45</v>
      </c>
      <c r="N11" s="93"/>
      <c r="P11" s="84"/>
      <c r="Q11" s="85"/>
    </row>
    <row r="12" spans="1:17" ht="42" customHeight="1" thickBot="1" x14ac:dyDescent="0.35">
      <c r="A12" s="94"/>
      <c r="B12" s="52" t="s">
        <v>21</v>
      </c>
      <c r="C12" s="101"/>
      <c r="D12" s="94"/>
      <c r="E12" s="52" t="s">
        <v>8</v>
      </c>
      <c r="F12" s="94"/>
      <c r="G12" s="52" t="s">
        <v>8</v>
      </c>
      <c r="H12" s="94"/>
      <c r="I12" s="52" t="s">
        <v>8</v>
      </c>
      <c r="J12" s="94"/>
      <c r="K12" s="52" t="s">
        <v>8</v>
      </c>
      <c r="L12" s="94"/>
      <c r="M12" s="94"/>
      <c r="N12" s="94"/>
      <c r="P12" s="84"/>
      <c r="Q12" s="85"/>
    </row>
    <row r="13" spans="1:17" ht="21" customHeight="1" thickBot="1" x14ac:dyDescent="0.35">
      <c r="A13" s="74"/>
      <c r="B13" s="53">
        <v>2</v>
      </c>
      <c r="C13" s="54">
        <v>3</v>
      </c>
      <c r="D13" s="53">
        <v>4</v>
      </c>
      <c r="E13" s="53">
        <v>5</v>
      </c>
      <c r="F13" s="53">
        <v>6</v>
      </c>
      <c r="G13" s="53">
        <v>7</v>
      </c>
      <c r="H13" s="53">
        <v>8</v>
      </c>
      <c r="I13" s="53">
        <v>9</v>
      </c>
      <c r="J13" s="53">
        <v>10</v>
      </c>
      <c r="K13" s="53">
        <v>11</v>
      </c>
      <c r="L13" s="53">
        <v>12</v>
      </c>
      <c r="M13" s="53">
        <v>13</v>
      </c>
      <c r="N13" s="53">
        <v>14</v>
      </c>
      <c r="P13" s="55"/>
      <c r="Q13" s="56"/>
    </row>
    <row r="14" spans="1:17" ht="28.5" customHeight="1" thickBot="1" x14ac:dyDescent="0.35">
      <c r="A14" s="95" t="s">
        <v>10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7"/>
    </row>
    <row r="15" spans="1:17" ht="98.25" customHeight="1" thickBot="1" x14ac:dyDescent="0.35">
      <c r="A15" s="57" t="s">
        <v>75</v>
      </c>
      <c r="B15" s="66">
        <f>SUM(B16:B17)</f>
        <v>0</v>
      </c>
      <c r="C15" s="58">
        <f>SUM(C16:C17)</f>
        <v>0</v>
      </c>
      <c r="D15" s="66">
        <f t="shared" ref="D15:J15" si="0">SUM(D16:D17)</f>
        <v>29.7</v>
      </c>
      <c r="E15" s="66">
        <f>SUM(E16:E17)</f>
        <v>333.37929599999995</v>
      </c>
      <c r="F15" s="66">
        <f t="shared" si="0"/>
        <v>0</v>
      </c>
      <c r="G15" s="66">
        <f t="shared" si="0"/>
        <v>0</v>
      </c>
      <c r="H15" s="66">
        <f t="shared" si="0"/>
        <v>35.6</v>
      </c>
      <c r="I15" s="66">
        <f>SUM(I16:I17)</f>
        <v>3.3742391999999999</v>
      </c>
      <c r="J15" s="66">
        <f t="shared" si="0"/>
        <v>35.6</v>
      </c>
      <c r="K15" s="66">
        <f>SUM(K16:K17)</f>
        <v>5.6824007999999999</v>
      </c>
      <c r="L15" s="66">
        <f>SUM(L16:L17)</f>
        <v>27</v>
      </c>
      <c r="M15" s="66">
        <f>SUM(M16:M17)</f>
        <v>15.410115000000001</v>
      </c>
      <c r="N15" s="66">
        <f>SUM(C15,E15,G15,I15,K15)+M15+0.1</f>
        <v>357.94605099999995</v>
      </c>
      <c r="O15" s="50"/>
      <c r="P15" s="59"/>
    </row>
    <row r="16" spans="1:17" ht="28.5" customHeight="1" thickBot="1" x14ac:dyDescent="0.35">
      <c r="A16" s="57" t="s">
        <v>23</v>
      </c>
      <c r="B16" s="66">
        <v>0</v>
      </c>
      <c r="C16" s="58">
        <f>B16*8.14</f>
        <v>0</v>
      </c>
      <c r="D16" s="66">
        <v>19</v>
      </c>
      <c r="E16" s="66">
        <f>D16*ТАРИФЫ!F5/1000</f>
        <v>203.80828799999998</v>
      </c>
      <c r="F16" s="66">
        <v>0</v>
      </c>
      <c r="G16" s="66">
        <v>0</v>
      </c>
      <c r="H16" s="66">
        <v>17.8</v>
      </c>
      <c r="I16" s="66">
        <f>H16*ТАРИФЫ!F10/1000</f>
        <v>1.5853391999999999</v>
      </c>
      <c r="J16" s="66">
        <v>17.8</v>
      </c>
      <c r="K16" s="66">
        <f>J16*ТАРИФЫ!F15/1000</f>
        <v>2.6900784</v>
      </c>
      <c r="L16" s="66">
        <v>13.5</v>
      </c>
      <c r="M16" s="66">
        <f>L16*ТАРИФЫ!D26/1000</f>
        <v>7.4879100000000003</v>
      </c>
      <c r="N16" s="66">
        <f>SUM(C16,E16,G16,I16,K16)+M16</f>
        <v>215.57161559999997</v>
      </c>
      <c r="O16" s="50"/>
      <c r="P16" s="59"/>
    </row>
    <row r="17" spans="1:16" ht="28.5" customHeight="1" thickBot="1" x14ac:dyDescent="0.35">
      <c r="A17" s="57" t="s">
        <v>43</v>
      </c>
      <c r="B17" s="66">
        <v>0</v>
      </c>
      <c r="C17" s="58">
        <f>B17*8.14</f>
        <v>0</v>
      </c>
      <c r="D17" s="66">
        <v>10.7</v>
      </c>
      <c r="E17" s="66">
        <f>D17*ТАРИФЫ!G5/1000</f>
        <v>129.57100800000001</v>
      </c>
      <c r="F17" s="66">
        <v>0</v>
      </c>
      <c r="G17" s="66">
        <v>0</v>
      </c>
      <c r="H17" s="66">
        <v>17.8</v>
      </c>
      <c r="I17" s="66">
        <f>H17*ТАРИФЫ!G10/1000</f>
        <v>1.7889000000000002</v>
      </c>
      <c r="J17" s="66">
        <v>17.8</v>
      </c>
      <c r="K17" s="66">
        <f>J17*ТАРИФЫ!G15/1000</f>
        <v>2.9923223999999999</v>
      </c>
      <c r="L17" s="66">
        <v>13.5</v>
      </c>
      <c r="M17" s="66">
        <f>L17*ТАРИФЫ!E26/1000</f>
        <v>7.9222050000000008</v>
      </c>
      <c r="N17" s="66">
        <f>SUM(C17,E17,G17,I17,K17)+M17</f>
        <v>142.27443540000002</v>
      </c>
      <c r="O17" s="50"/>
      <c r="P17" s="59"/>
    </row>
    <row r="18" spans="1:16" ht="112.5" customHeight="1" thickBot="1" x14ac:dyDescent="0.35">
      <c r="A18" s="57" t="s">
        <v>79</v>
      </c>
      <c r="B18" s="66">
        <f>B19+B20</f>
        <v>247.79999999999995</v>
      </c>
      <c r="C18" s="66">
        <f>C19+C20</f>
        <v>2562.2498036000002</v>
      </c>
      <c r="D18" s="66">
        <f t="shared" ref="D18:L18" si="1">D19+D20</f>
        <v>1149.8</v>
      </c>
      <c r="E18" s="66">
        <f>E19+E20-0.1</f>
        <v>15008.850945599999</v>
      </c>
      <c r="F18" s="66">
        <f t="shared" si="1"/>
        <v>34.9</v>
      </c>
      <c r="G18" s="66">
        <f>G19+G20</f>
        <v>392.30032</v>
      </c>
      <c r="H18" s="66">
        <f t="shared" si="1"/>
        <v>2567.8999999999996</v>
      </c>
      <c r="I18" s="66">
        <f>I19+I20</f>
        <v>241.73960439999999</v>
      </c>
      <c r="J18" s="66">
        <f t="shared" si="1"/>
        <v>2567.8999999999996</v>
      </c>
      <c r="K18" s="66">
        <f t="shared" si="1"/>
        <v>406.2031872</v>
      </c>
      <c r="L18" s="66">
        <f t="shared" si="1"/>
        <v>207.40000000000003</v>
      </c>
      <c r="M18" s="66">
        <f>M19+M20</f>
        <v>118.272513</v>
      </c>
      <c r="N18" s="66">
        <f>N19+N20</f>
        <v>18729.6163738</v>
      </c>
      <c r="O18" s="50"/>
      <c r="P18" s="59"/>
    </row>
    <row r="19" spans="1:16" ht="28.5" customHeight="1" thickBot="1" x14ac:dyDescent="0.35">
      <c r="A19" s="60" t="s">
        <v>23</v>
      </c>
      <c r="B19" s="66">
        <f>B23+B26+B29+B32+B35+B38+B41+B44+B47</f>
        <v>138.19999999999999</v>
      </c>
      <c r="C19" s="66">
        <f>C23+C26+C29+C32+C35+C38+C41+C44+C47</f>
        <v>1357.2388000000001</v>
      </c>
      <c r="D19" s="66">
        <f>D23+D26+D29+D32+D35+D38+D41+D44+D47</f>
        <v>739.69999999999993</v>
      </c>
      <c r="E19" s="66">
        <f>E23+E26+E29+E32+E35+E38+E41+E44+E47</f>
        <v>9043.6360731999994</v>
      </c>
      <c r="F19" s="66">
        <f t="shared" ref="F19:L19" si="2">F23+F26+F29+F32+F35+F38+F41+F44+F47</f>
        <v>22</v>
      </c>
      <c r="G19" s="66">
        <f>G23+G26+G29+G32+G35+G38+G41+G44+G47+0.1</f>
        <v>236.08854399999998</v>
      </c>
      <c r="H19" s="66">
        <f t="shared" si="2"/>
        <v>1360.8</v>
      </c>
      <c r="I19" s="66">
        <f>I23+I26+I29+I32+I35+I38+I41+I44+I47-0.2</f>
        <v>121.78995759999999</v>
      </c>
      <c r="J19" s="66">
        <f t="shared" si="2"/>
        <v>1360.8</v>
      </c>
      <c r="K19" s="66">
        <f>K23+K26+K29+K32+K35+K38+K41+K44+K47</f>
        <v>204.66280079999999</v>
      </c>
      <c r="L19" s="66">
        <f t="shared" si="2"/>
        <v>103.70000000000002</v>
      </c>
      <c r="M19" s="66">
        <f>M23+M26+M29+M32+M35+M38+M41+M44+M47-0.1</f>
        <v>57.418241999999992</v>
      </c>
      <c r="N19" s="66">
        <f>N23+N26+N29+N32+N35+N38+N41+N44+N47</f>
        <v>11020.834417599999</v>
      </c>
      <c r="O19" s="50"/>
      <c r="P19" s="59"/>
    </row>
    <row r="20" spans="1:16" ht="28.5" customHeight="1" thickBot="1" x14ac:dyDescent="0.35">
      <c r="A20" s="60" t="s">
        <v>43</v>
      </c>
      <c r="B20" s="66">
        <f>B24+B27+B30+B33+B36+B39+B42+B45+B48</f>
        <v>109.59999999999998</v>
      </c>
      <c r="C20" s="66">
        <f>C24+C27+C30+C33+C36+C39+C42+C45+C48+0.1</f>
        <v>1205.0110036000001</v>
      </c>
      <c r="D20" s="66">
        <f t="shared" ref="D20:L20" si="3">D24+D27+D30+D33+D36+D39+D42+D45+D48</f>
        <v>410.1</v>
      </c>
      <c r="E20" s="66">
        <f>E24+E27+E30+E33+E36+E39+E42+E45+E48</f>
        <v>5965.3148724000002</v>
      </c>
      <c r="F20" s="66">
        <f t="shared" si="3"/>
        <v>12.9</v>
      </c>
      <c r="G20" s="66">
        <f>G24+G27+G30+G33+G36+G39+G42+G45+G48</f>
        <v>156.21177600000001</v>
      </c>
      <c r="H20" s="66">
        <f t="shared" si="3"/>
        <v>1207.0999999999999</v>
      </c>
      <c r="I20" s="66">
        <f>I24+I27+I30+I33+I36+I39+I42+I45+I48</f>
        <v>119.9496468</v>
      </c>
      <c r="J20" s="66">
        <f t="shared" si="3"/>
        <v>1207.0999999999999</v>
      </c>
      <c r="K20" s="66">
        <f>K24+K27+K30+K33+K36+K39+K42+K45+K48</f>
        <v>201.54038639999999</v>
      </c>
      <c r="L20" s="66">
        <f t="shared" si="3"/>
        <v>103.70000000000002</v>
      </c>
      <c r="M20" s="66">
        <f>M24+M27+M30+M33+M36+M39+M42+M45+M48</f>
        <v>60.854271000000011</v>
      </c>
      <c r="N20" s="66">
        <f>N24+N27+N30+N33+N36+N39+N42+N45+N48-0.1</f>
        <v>7708.7819562000004</v>
      </c>
      <c r="O20" s="50"/>
      <c r="P20" s="59"/>
    </row>
    <row r="21" spans="1:16" ht="18" customHeight="1" thickBot="1" x14ac:dyDescent="0.35">
      <c r="A21" s="89" t="s">
        <v>13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50"/>
      <c r="P21" s="77"/>
    </row>
    <row r="22" spans="1:16" ht="67.5" customHeight="1" thickBot="1" x14ac:dyDescent="0.35">
      <c r="A22" s="57" t="s">
        <v>67</v>
      </c>
      <c r="B22" s="66">
        <f>B23+B24</f>
        <v>82.4</v>
      </c>
      <c r="C22" s="66">
        <f t="shared" ref="C22:L22" si="4">C23+C24</f>
        <v>878.5924</v>
      </c>
      <c r="D22" s="66">
        <f t="shared" si="4"/>
        <v>413.3</v>
      </c>
      <c r="E22" s="66">
        <f>E23+E24</f>
        <v>4611.7333536000006</v>
      </c>
      <c r="F22" s="66">
        <f t="shared" si="4"/>
        <v>3</v>
      </c>
      <c r="G22" s="66">
        <f>G23+G24</f>
        <v>33.562944000000002</v>
      </c>
      <c r="H22" s="66">
        <f t="shared" si="4"/>
        <v>515.70000000000005</v>
      </c>
      <c r="I22" s="66">
        <f t="shared" si="4"/>
        <v>45.930304800000002</v>
      </c>
      <c r="J22" s="66">
        <f t="shared" si="4"/>
        <v>515.70000000000005</v>
      </c>
      <c r="K22" s="66">
        <f>K23+K24-0.1</f>
        <v>81.154601600000007</v>
      </c>
      <c r="L22" s="66">
        <f t="shared" si="4"/>
        <v>74.400000000000006</v>
      </c>
      <c r="M22" s="66">
        <f>M23+M24-0.1</f>
        <v>42.363428000000006</v>
      </c>
      <c r="N22" s="66">
        <f>SUM(C22,E22,G22,I22,K22)+M22+0.1</f>
        <v>5693.4370320000007</v>
      </c>
      <c r="O22" s="50"/>
      <c r="P22" s="59"/>
    </row>
    <row r="23" spans="1:16" ht="20.100000000000001" customHeight="1" thickBot="1" x14ac:dyDescent="0.35">
      <c r="A23" s="57" t="s">
        <v>23</v>
      </c>
      <c r="B23" s="66">
        <v>38.1</v>
      </c>
      <c r="C23" s="58">
        <v>406</v>
      </c>
      <c r="D23" s="66">
        <v>284.3</v>
      </c>
      <c r="E23" s="66">
        <f>D23*ТАРИФЫ!F5/1000</f>
        <v>3049.6155936</v>
      </c>
      <c r="F23" s="66">
        <v>2</v>
      </c>
      <c r="G23" s="66">
        <f>F23*ТАРИФЫ!F5/1000</f>
        <v>21.453503999999999</v>
      </c>
      <c r="H23" s="66">
        <v>320.3</v>
      </c>
      <c r="I23" s="66">
        <f>H23*ТАРИФЫ!F10/1000</f>
        <v>28.527199199999998</v>
      </c>
      <c r="J23" s="66">
        <f>H23</f>
        <v>320.3</v>
      </c>
      <c r="K23" s="66">
        <f>J23*ТАРИФЫ!F15/1000</f>
        <v>48.406298399999997</v>
      </c>
      <c r="L23" s="66">
        <v>37.200000000000003</v>
      </c>
      <c r="M23" s="66">
        <f>L23*ТАРИФЫ!D26/1000</f>
        <v>20.633351999999999</v>
      </c>
      <c r="N23" s="66">
        <f>SUM(C23,E23,G23,I23,K23)+M23</f>
        <v>3574.6359471999999</v>
      </c>
      <c r="O23" s="50"/>
      <c r="P23" s="59"/>
    </row>
    <row r="24" spans="1:16" ht="19.5" customHeight="1" thickBot="1" x14ac:dyDescent="0.35">
      <c r="A24" s="57" t="s">
        <v>43</v>
      </c>
      <c r="B24" s="66">
        <v>44.3</v>
      </c>
      <c r="C24" s="58">
        <f>B24*ТАРИФЫ!F21</f>
        <v>472.5924</v>
      </c>
      <c r="D24" s="66">
        <v>129</v>
      </c>
      <c r="E24" s="66">
        <f>D24*ТАРИФЫ!G5/1000</f>
        <v>1562.1177600000001</v>
      </c>
      <c r="F24" s="66">
        <v>1</v>
      </c>
      <c r="G24" s="66">
        <f>F24*ТАРИФЫ!G5/1000</f>
        <v>12.109440000000001</v>
      </c>
      <c r="H24" s="66">
        <v>195.4</v>
      </c>
      <c r="I24" s="66">
        <f>H24*ТАРИФЫ!F10/1000</f>
        <v>17.4031056</v>
      </c>
      <c r="J24" s="66">
        <v>195.4</v>
      </c>
      <c r="K24" s="66">
        <f>J24*ТАРИФЫ!G15/1000</f>
        <v>32.848303200000004</v>
      </c>
      <c r="L24" s="66">
        <v>37.200000000000003</v>
      </c>
      <c r="M24" s="66">
        <f>L24*ТАРИФЫ!E26/1000</f>
        <v>21.830076000000005</v>
      </c>
      <c r="N24" s="66">
        <f>SUM(C24,E24,G24,I24,K24)+M24-0.1</f>
        <v>2118.8010848000004</v>
      </c>
      <c r="O24" s="50"/>
      <c r="P24" s="59"/>
    </row>
    <row r="25" spans="1:16" ht="68.25" customHeight="1" thickBot="1" x14ac:dyDescent="0.35">
      <c r="A25" s="57" t="s">
        <v>81</v>
      </c>
      <c r="B25" s="66">
        <f>B26+B27</f>
        <v>1.7000000000000002</v>
      </c>
      <c r="C25" s="66">
        <f>C26+C27</f>
        <v>18.652585599999998</v>
      </c>
      <c r="D25" s="66">
        <f t="shared" ref="D25:L25" si="5">D26+D27</f>
        <v>76</v>
      </c>
      <c r="E25" s="66">
        <f t="shared" si="5"/>
        <v>853.1188032</v>
      </c>
      <c r="F25" s="66">
        <f t="shared" si="5"/>
        <v>1.8</v>
      </c>
      <c r="G25" s="66">
        <f>G26+G27</f>
        <v>20.5525728</v>
      </c>
      <c r="H25" s="66">
        <f t="shared" si="5"/>
        <v>61.2</v>
      </c>
      <c r="I25" s="66">
        <f>I26+I27</f>
        <v>5.8006584000000005</v>
      </c>
      <c r="J25" s="66">
        <f t="shared" si="5"/>
        <v>61.2</v>
      </c>
      <c r="K25" s="66">
        <f>K26+K27-0.1</f>
        <v>9.6686215999999998</v>
      </c>
      <c r="L25" s="66">
        <f t="shared" si="5"/>
        <v>5</v>
      </c>
      <c r="M25" s="66">
        <f>M26+M27</f>
        <v>2.8537249999999998</v>
      </c>
      <c r="N25" s="66">
        <f>SUM(C25,E25,G25,I25,K25)+M25+0.2</f>
        <v>910.84696660000009</v>
      </c>
      <c r="O25" s="50"/>
      <c r="P25" s="59"/>
    </row>
    <row r="26" spans="1:16" ht="20.100000000000001" customHeight="1" thickBot="1" x14ac:dyDescent="0.35">
      <c r="A26" s="57" t="s">
        <v>23</v>
      </c>
      <c r="B26" s="66">
        <v>0.9</v>
      </c>
      <c r="C26" s="58">
        <v>9.6999999999999993</v>
      </c>
      <c r="D26" s="66">
        <v>48.6</v>
      </c>
      <c r="E26" s="66">
        <f>D26*ТАРИФЫ!F5/1000</f>
        <v>521.32014719999995</v>
      </c>
      <c r="F26" s="66">
        <v>0.9</v>
      </c>
      <c r="G26" s="66">
        <f>F26*ТАРИФЫ!F5/1000</f>
        <v>9.6540767999999986</v>
      </c>
      <c r="H26" s="66">
        <v>30.6</v>
      </c>
      <c r="I26" s="66">
        <f>H26*ТАРИФЫ!F10/1000</f>
        <v>2.7253584000000002</v>
      </c>
      <c r="J26" s="66">
        <v>30.6</v>
      </c>
      <c r="K26" s="66">
        <f>J26*ТАРИФЫ!F15/1000</f>
        <v>4.6245167999999994</v>
      </c>
      <c r="L26" s="66">
        <v>2.5</v>
      </c>
      <c r="M26" s="66">
        <f>L26*ТАРИФЫ!D26/1000</f>
        <v>1.3866499999999999</v>
      </c>
      <c r="N26" s="66">
        <f t="shared" ref="N26" si="6">SUM(C26,E26,G26,I26,K26)+M26</f>
        <v>549.41074920000005</v>
      </c>
      <c r="O26" s="50"/>
      <c r="P26" s="59"/>
    </row>
    <row r="27" spans="1:16" ht="20.100000000000001" customHeight="1" thickBot="1" x14ac:dyDescent="0.35">
      <c r="A27" s="57" t="s">
        <v>43</v>
      </c>
      <c r="B27" s="66">
        <v>0.8</v>
      </c>
      <c r="C27" s="58">
        <f>B27*ТАРИФЫ!G21</f>
        <v>8.952585599999999</v>
      </c>
      <c r="D27" s="66">
        <v>27.4</v>
      </c>
      <c r="E27" s="66">
        <f>D27*ТАРИФЫ!G5/1000</f>
        <v>331.79865599999999</v>
      </c>
      <c r="F27" s="66">
        <v>0.9</v>
      </c>
      <c r="G27" s="66">
        <f>F27*ТАРИФЫ!G5/1000</f>
        <v>10.898496000000002</v>
      </c>
      <c r="H27" s="66">
        <v>30.6</v>
      </c>
      <c r="I27" s="66">
        <f>H27*ТАРИФЫ!G10/1000</f>
        <v>3.0753000000000004</v>
      </c>
      <c r="J27" s="66">
        <v>30.6</v>
      </c>
      <c r="K27" s="66">
        <f>J27*ТАРИФЫ!G15/1000</f>
        <v>5.1441048</v>
      </c>
      <c r="L27" s="66">
        <v>2.5</v>
      </c>
      <c r="M27" s="66">
        <f>L27*ТАРИФЫ!E26/1000</f>
        <v>1.4670750000000001</v>
      </c>
      <c r="N27" s="66">
        <f>SUM(C27,E27,G27,I27,K27)+M27+0.1</f>
        <v>361.43621740000009</v>
      </c>
      <c r="O27" s="50"/>
      <c r="P27" s="59"/>
    </row>
    <row r="28" spans="1:16" ht="82.5" customHeight="1" thickBot="1" x14ac:dyDescent="0.35">
      <c r="A28" s="57" t="s">
        <v>82</v>
      </c>
      <c r="B28" s="66">
        <f>B29+B30</f>
        <v>3.4</v>
      </c>
      <c r="C28" s="66">
        <f t="shared" ref="C28:L28" si="7">C29+C30</f>
        <v>37.562390799999996</v>
      </c>
      <c r="D28" s="66">
        <f t="shared" si="7"/>
        <v>122.4</v>
      </c>
      <c r="E28" s="66">
        <f>E29+E30</f>
        <v>2733.0131775999998</v>
      </c>
      <c r="F28" s="66">
        <f t="shared" si="7"/>
        <v>0</v>
      </c>
      <c r="G28" s="66">
        <f t="shared" si="7"/>
        <v>0</v>
      </c>
      <c r="H28" s="66">
        <f t="shared" si="7"/>
        <v>25.299999999999997</v>
      </c>
      <c r="I28" s="66">
        <f t="shared" si="7"/>
        <v>3.7109987999999992</v>
      </c>
      <c r="J28" s="66">
        <f t="shared" si="7"/>
        <v>25.299999999999997</v>
      </c>
      <c r="K28" s="66">
        <f t="shared" si="7"/>
        <v>3.8825231999999996</v>
      </c>
      <c r="L28" s="66">
        <f t="shared" si="7"/>
        <v>5</v>
      </c>
      <c r="M28" s="66">
        <f>M29+M30</f>
        <v>2.8537249999999998</v>
      </c>
      <c r="N28" s="66">
        <f>SUM(C28,E28,G28,I28,K28)+M28+0.1</f>
        <v>2781.1228153999996</v>
      </c>
      <c r="O28" s="50"/>
      <c r="P28" s="59"/>
    </row>
    <row r="29" spans="1:16" ht="20.100000000000001" customHeight="1" thickBot="1" x14ac:dyDescent="0.35">
      <c r="A29" s="57" t="s">
        <v>23</v>
      </c>
      <c r="B29" s="66">
        <v>1.5</v>
      </c>
      <c r="C29" s="58">
        <v>16.3</v>
      </c>
      <c r="D29" s="66">
        <v>79.2</v>
      </c>
      <c r="E29" s="66">
        <v>1503.4</v>
      </c>
      <c r="F29" s="66">
        <v>0</v>
      </c>
      <c r="G29" s="58">
        <v>0</v>
      </c>
      <c r="H29" s="66">
        <v>11.2</v>
      </c>
      <c r="I29" s="66">
        <f>H29*ТАРИФЫ!F13/1000</f>
        <v>1.5914303999999997</v>
      </c>
      <c r="J29" s="66">
        <v>11.2</v>
      </c>
      <c r="K29" s="66">
        <f>J29*ТАРИФЫ!F19/1000</f>
        <v>1.6118591999999998</v>
      </c>
      <c r="L29" s="66">
        <v>2.5</v>
      </c>
      <c r="M29" s="66">
        <f>L29*ТАРИФЫ!D29/1000</f>
        <v>1.3866499999999999</v>
      </c>
      <c r="N29" s="66">
        <f>SUM(C29,E29,G29,I29,K29)+M29</f>
        <v>1524.2899396</v>
      </c>
      <c r="O29" s="50"/>
      <c r="P29" s="59"/>
    </row>
    <row r="30" spans="1:16" ht="20.100000000000001" customHeight="1" thickBot="1" x14ac:dyDescent="0.35">
      <c r="A30" s="57" t="s">
        <v>43</v>
      </c>
      <c r="B30" s="66">
        <v>1.9</v>
      </c>
      <c r="C30" s="58">
        <f>B30*ТАРИФЫ!G21</f>
        <v>21.262390799999995</v>
      </c>
      <c r="D30" s="66">
        <v>43.2</v>
      </c>
      <c r="E30" s="66">
        <f>D30*ТАРИФЫ!G8/1000</f>
        <v>1229.6131776</v>
      </c>
      <c r="F30" s="66">
        <v>0</v>
      </c>
      <c r="G30" s="58">
        <v>0</v>
      </c>
      <c r="H30" s="66">
        <v>14.1</v>
      </c>
      <c r="I30" s="66">
        <f>H30*ТАРИФЫ!G13/1000</f>
        <v>2.1195683999999995</v>
      </c>
      <c r="J30" s="66">
        <v>14.1</v>
      </c>
      <c r="K30" s="66">
        <f>J30*ТАРИФЫ!G19/1000</f>
        <v>2.2706639999999996</v>
      </c>
      <c r="L30" s="66">
        <v>2.5</v>
      </c>
      <c r="M30" s="66">
        <f>L30*ТАРИФЫ!E29/1000</f>
        <v>1.4670750000000001</v>
      </c>
      <c r="N30" s="66">
        <f>SUM(C30,E30,G30,I30,K30)+M30+0.1</f>
        <v>1256.8328757999998</v>
      </c>
      <c r="O30" s="50"/>
      <c r="P30" s="59"/>
    </row>
    <row r="31" spans="1:16" ht="80.25" customHeight="1" thickBot="1" x14ac:dyDescent="0.35">
      <c r="A31" s="57" t="s">
        <v>76</v>
      </c>
      <c r="B31" s="66">
        <f>B32+B33</f>
        <v>7.9</v>
      </c>
      <c r="C31" s="66">
        <f>C32+C33-0.1</f>
        <v>85.07480000000001</v>
      </c>
      <c r="D31" s="66">
        <f t="shared" ref="D31:J31" si="8">D32+D33</f>
        <v>47.599999999999994</v>
      </c>
      <c r="E31" s="66">
        <f>E32+E33</f>
        <v>1283.0315087999998</v>
      </c>
      <c r="F31" s="66">
        <f t="shared" si="8"/>
        <v>0</v>
      </c>
      <c r="G31" s="66">
        <f t="shared" si="8"/>
        <v>0</v>
      </c>
      <c r="H31" s="66">
        <f t="shared" si="8"/>
        <v>15.5</v>
      </c>
      <c r="I31" s="66">
        <f t="shared" si="8"/>
        <v>1.8333311999999999</v>
      </c>
      <c r="J31" s="66">
        <f t="shared" si="8"/>
        <v>15.5</v>
      </c>
      <c r="K31" s="66">
        <f>K32+K33</f>
        <v>0.60152159999999988</v>
      </c>
      <c r="L31" s="66">
        <f>L32+L33</f>
        <v>3.4</v>
      </c>
      <c r="M31" s="66">
        <f>M32+M33</f>
        <v>1.9405329999999998</v>
      </c>
      <c r="N31" s="66">
        <f>SUM(C31,E31,G31,I31,K31)+M31-0.1</f>
        <v>1372.3816945999999</v>
      </c>
      <c r="O31" s="50"/>
      <c r="P31" s="59"/>
    </row>
    <row r="32" spans="1:16" ht="20.100000000000001" customHeight="1" thickBot="1" x14ac:dyDescent="0.35">
      <c r="A32" s="57" t="s">
        <v>23</v>
      </c>
      <c r="B32" s="66">
        <v>4.9000000000000004</v>
      </c>
      <c r="C32" s="58">
        <f>B32*ТАРИФЫ!F22</f>
        <v>50.038800000000002</v>
      </c>
      <c r="D32" s="66">
        <v>29.9</v>
      </c>
      <c r="E32" s="66">
        <f>D32*ТАРИФЫ!F6/1000</f>
        <v>775.94626199999993</v>
      </c>
      <c r="F32" s="66">
        <v>0</v>
      </c>
      <c r="G32" s="66">
        <v>0</v>
      </c>
      <c r="H32" s="66">
        <v>7.9</v>
      </c>
      <c r="I32" s="66">
        <f>H32*ТАРИФЫ!F11/1000</f>
        <v>0.9013584</v>
      </c>
      <c r="J32" s="66">
        <v>7.9</v>
      </c>
      <c r="K32" s="66">
        <f>J32*ТАРИФЫ!F16/1000</f>
        <v>0.28250400000000003</v>
      </c>
      <c r="L32" s="66">
        <v>1.7</v>
      </c>
      <c r="M32" s="66">
        <f>L32*ТАРИФЫ!D27/1000</f>
        <v>0.94292199999999993</v>
      </c>
      <c r="N32" s="66">
        <f>SUM(C32,E32,G32,I32,K32)+M32-0.1</f>
        <v>828.01184639999997</v>
      </c>
      <c r="O32" s="50"/>
      <c r="P32" s="59"/>
    </row>
    <row r="33" spans="1:16" ht="20.100000000000001" customHeight="1" thickBot="1" x14ac:dyDescent="0.35">
      <c r="A33" s="57" t="s">
        <v>43</v>
      </c>
      <c r="B33" s="66">
        <v>3</v>
      </c>
      <c r="C33" s="58">
        <f>B33*ТАРИФЫ!G22</f>
        <v>35.135999999999996</v>
      </c>
      <c r="D33" s="66">
        <v>17.7</v>
      </c>
      <c r="E33" s="66">
        <f>D33*ТАРИФЫ!G6/1000</f>
        <v>507.08524679999994</v>
      </c>
      <c r="F33" s="66">
        <v>0</v>
      </c>
      <c r="G33" s="66">
        <v>0</v>
      </c>
      <c r="H33" s="66">
        <v>7.6</v>
      </c>
      <c r="I33" s="66">
        <f>H33*ТАРИФЫ!G11/1000</f>
        <v>0.93197279999999993</v>
      </c>
      <c r="J33" s="66">
        <v>7.6</v>
      </c>
      <c r="K33" s="66">
        <f>J33*ТАРИФЫ!G16/1000</f>
        <v>0.3190175999999999</v>
      </c>
      <c r="L33" s="66">
        <v>1.7</v>
      </c>
      <c r="M33" s="66">
        <f>L33*ТАРИФЫ!E27/1000</f>
        <v>0.99761100000000003</v>
      </c>
      <c r="N33" s="66">
        <f>SUM(C33,E33,G33,I33,K33)+M33-0.1</f>
        <v>544.36984819999998</v>
      </c>
      <c r="O33" s="50"/>
      <c r="P33" s="59"/>
    </row>
    <row r="34" spans="1:16" ht="65.25" customHeight="1" thickBot="1" x14ac:dyDescent="0.35">
      <c r="A34" s="57" t="s">
        <v>68</v>
      </c>
      <c r="B34" s="66">
        <f>B35+B36</f>
        <v>2.8</v>
      </c>
      <c r="C34" s="66">
        <f t="shared" ref="C34:J34" si="9">C35+C36</f>
        <v>28.4479516</v>
      </c>
      <c r="D34" s="66">
        <f t="shared" si="9"/>
        <v>38.299999999999997</v>
      </c>
      <c r="E34" s="66">
        <f>E35+E36</f>
        <v>429.91569600000003</v>
      </c>
      <c r="F34" s="66">
        <f t="shared" si="9"/>
        <v>0.2</v>
      </c>
      <c r="G34" s="66">
        <f t="shared" si="9"/>
        <v>2.2836192000000004</v>
      </c>
      <c r="H34" s="66">
        <f t="shared" si="9"/>
        <v>8.6999999999999993</v>
      </c>
      <c r="I34" s="66">
        <f>I35+I36</f>
        <v>0.82974959999999998</v>
      </c>
      <c r="J34" s="66">
        <f t="shared" si="9"/>
        <v>8.6999999999999993</v>
      </c>
      <c r="K34" s="66">
        <f>K35+K36</f>
        <v>1.0717991999999998</v>
      </c>
      <c r="L34" s="66">
        <f>L35+L36</f>
        <v>3.4</v>
      </c>
      <c r="M34" s="66">
        <f>M35+M36</f>
        <v>1.9405329999999998</v>
      </c>
      <c r="N34" s="66">
        <f>SUM(C34,E34,G34,I34,K34)+M34-0.1</f>
        <v>464.38934860000001</v>
      </c>
      <c r="O34" s="50"/>
      <c r="P34" s="59"/>
    </row>
    <row r="35" spans="1:16" ht="28.5" customHeight="1" thickBot="1" x14ac:dyDescent="0.35">
      <c r="A35" s="57" t="s">
        <v>23</v>
      </c>
      <c r="B35" s="66">
        <v>1.5</v>
      </c>
      <c r="C35" s="58">
        <v>13.9</v>
      </c>
      <c r="D35" s="66">
        <v>24.5</v>
      </c>
      <c r="E35" s="66">
        <f>D35*ТАРИФЫ!F5/1000</f>
        <v>262.80542399999996</v>
      </c>
      <c r="F35" s="66">
        <v>0.1</v>
      </c>
      <c r="G35" s="66">
        <f>F35*ТАРИФЫ!F5/1000</f>
        <v>1.0726751999999999</v>
      </c>
      <c r="H35" s="66">
        <v>3.9</v>
      </c>
      <c r="I35" s="66">
        <f>H35*ТАРИФЫ!F10/1000</f>
        <v>0.34734959999999993</v>
      </c>
      <c r="J35" s="66">
        <v>3.9</v>
      </c>
      <c r="K35" s="66">
        <f>J35*ТАРИФЫ!F15/1000</f>
        <v>0.5893991999999999</v>
      </c>
      <c r="L35" s="66">
        <v>1.7</v>
      </c>
      <c r="M35" s="66">
        <f>L35*ТАРИФЫ!D26/1000</f>
        <v>0.94292199999999993</v>
      </c>
      <c r="N35" s="66">
        <f>SUM(C35,E35,G35,I35,K35)+M35-0.1</f>
        <v>279.55776999999989</v>
      </c>
      <c r="O35" s="50"/>
      <c r="P35" s="59"/>
    </row>
    <row r="36" spans="1:16" ht="20.100000000000001" customHeight="1" thickBot="1" x14ac:dyDescent="0.35">
      <c r="A36" s="57" t="s">
        <v>43</v>
      </c>
      <c r="B36" s="66">
        <v>1.3</v>
      </c>
      <c r="C36" s="58">
        <f>B36*ТАРИФЫ!G21</f>
        <v>14.547951599999999</v>
      </c>
      <c r="D36" s="66">
        <v>13.8</v>
      </c>
      <c r="E36" s="66">
        <f>D36*ТАРИФЫ!G5/1000</f>
        <v>167.11027200000004</v>
      </c>
      <c r="F36" s="66">
        <v>0.1</v>
      </c>
      <c r="G36" s="66">
        <f>F36*ТАРИФЫ!G5/1000</f>
        <v>1.2109440000000002</v>
      </c>
      <c r="H36" s="66">
        <v>4.8</v>
      </c>
      <c r="I36" s="66">
        <f>H36*ТАРИФЫ!G10/1000</f>
        <v>0.4824</v>
      </c>
      <c r="J36" s="66">
        <v>4.8</v>
      </c>
      <c r="K36" s="66">
        <f>J36*ТАРИФЫ!G10/1000</f>
        <v>0.4824</v>
      </c>
      <c r="L36" s="66">
        <v>1.7</v>
      </c>
      <c r="M36" s="66">
        <f>L36*ТАРИФЫ!E26/1000</f>
        <v>0.99761100000000003</v>
      </c>
      <c r="N36" s="66">
        <f>SUM(C36,E36,G36,I36,K36)+M36</f>
        <v>184.83157860000009</v>
      </c>
      <c r="O36" s="50"/>
      <c r="P36" s="59"/>
    </row>
    <row r="37" spans="1:16" ht="37.5" customHeight="1" thickBot="1" x14ac:dyDescent="0.35">
      <c r="A37" s="57" t="s">
        <v>83</v>
      </c>
      <c r="B37" s="66">
        <f>B38+B39</f>
        <v>30.2</v>
      </c>
      <c r="C37" s="66">
        <f>C38+C39</f>
        <v>329.07024799999999</v>
      </c>
      <c r="D37" s="66">
        <f t="shared" ref="D37:J37" si="10">D38+D39</f>
        <v>71.599999999999994</v>
      </c>
      <c r="E37" s="66">
        <f t="shared" si="10"/>
        <v>803.57052479999993</v>
      </c>
      <c r="F37" s="66">
        <f t="shared" si="10"/>
        <v>29.9</v>
      </c>
      <c r="G37" s="66">
        <f>G38+G39</f>
        <v>335.80118399999998</v>
      </c>
      <c r="H37" s="66">
        <f t="shared" si="10"/>
        <v>829.2</v>
      </c>
      <c r="I37" s="66">
        <f>I38+I39-0.1</f>
        <v>77.363357600000001</v>
      </c>
      <c r="J37" s="66">
        <f t="shared" si="10"/>
        <v>829.2</v>
      </c>
      <c r="K37" s="66">
        <f>K38+K39</f>
        <v>130.67762159999998</v>
      </c>
      <c r="L37" s="66">
        <f>L38+L39</f>
        <v>1.8</v>
      </c>
      <c r="M37" s="66">
        <f>M38+M39</f>
        <v>1.0273410000000001</v>
      </c>
      <c r="N37" s="66">
        <f>SUM(C37,E37,G37,I37,K37)+M37+0.1</f>
        <v>1677.6102769999998</v>
      </c>
      <c r="O37" s="50"/>
      <c r="P37" s="59"/>
    </row>
    <row r="38" spans="1:16" ht="20.100000000000001" customHeight="1" thickBot="1" x14ac:dyDescent="0.35">
      <c r="A38" s="57" t="s">
        <v>23</v>
      </c>
      <c r="B38" s="66">
        <v>16.2</v>
      </c>
      <c r="C38" s="58">
        <v>172.4</v>
      </c>
      <c r="D38" s="66">
        <v>45.9</v>
      </c>
      <c r="E38" s="66">
        <f>D38*ТАРИФЫ!F5/1000</f>
        <v>492.35791679999994</v>
      </c>
      <c r="F38" s="66">
        <v>19</v>
      </c>
      <c r="G38" s="66">
        <f>F38*ТАРИФЫ!F5/1000</f>
        <v>203.80828799999998</v>
      </c>
      <c r="H38" s="66">
        <v>513.4</v>
      </c>
      <c r="I38" s="66">
        <f>H38*ТАРИФЫ!F10/1000</f>
        <v>45.725457599999991</v>
      </c>
      <c r="J38" s="66">
        <v>513.4</v>
      </c>
      <c r="K38" s="66">
        <f>J38*ТАРИФЫ!F15/1000</f>
        <v>77.589115199999981</v>
      </c>
      <c r="L38" s="66">
        <v>0.9</v>
      </c>
      <c r="M38" s="66">
        <f>L38*ТАРИФЫ!D26/1000</f>
        <v>0.49919399999999997</v>
      </c>
      <c r="N38" s="66">
        <f>SUM(C38,E38,G38,I38,K38)+M38</f>
        <v>992.37997159999986</v>
      </c>
      <c r="O38" s="50"/>
      <c r="P38" s="59"/>
    </row>
    <row r="39" spans="1:16" ht="20.100000000000001" customHeight="1" thickBot="1" x14ac:dyDescent="0.35">
      <c r="A39" s="57" t="s">
        <v>43</v>
      </c>
      <c r="B39" s="66">
        <v>14</v>
      </c>
      <c r="C39" s="58">
        <f>B39*ТАРИФЫ!G21</f>
        <v>156.67024799999999</v>
      </c>
      <c r="D39" s="66">
        <v>25.7</v>
      </c>
      <c r="E39" s="66">
        <f>D39*ТАРИФЫ!G5/1000</f>
        <v>311.21260799999999</v>
      </c>
      <c r="F39" s="66">
        <v>10.9</v>
      </c>
      <c r="G39" s="66">
        <f>F39*ТАРИФЫ!G5/1000</f>
        <v>131.992896</v>
      </c>
      <c r="H39" s="66">
        <v>315.8</v>
      </c>
      <c r="I39" s="66">
        <f>H39*ТАРИФЫ!G10/1000</f>
        <v>31.7379</v>
      </c>
      <c r="J39" s="66">
        <v>315.8</v>
      </c>
      <c r="K39" s="66">
        <f>J39*ТАРИФЫ!G15/1000</f>
        <v>53.088506400000007</v>
      </c>
      <c r="L39" s="66">
        <v>0.9</v>
      </c>
      <c r="M39" s="66">
        <f>L39*ТАРИФЫ!E26/1000</f>
        <v>0.52814700000000003</v>
      </c>
      <c r="N39" s="66">
        <f>SUM(C39,E39,G39,I39,K39)+M39</f>
        <v>685.23030539999991</v>
      </c>
      <c r="O39" s="50"/>
      <c r="P39" s="59"/>
    </row>
    <row r="40" spans="1:16" ht="111.75" customHeight="1" thickBot="1" x14ac:dyDescent="0.35">
      <c r="A40" s="57" t="s">
        <v>80</v>
      </c>
      <c r="B40" s="66">
        <f>B41+B42</f>
        <v>13.4</v>
      </c>
      <c r="C40" s="66">
        <f t="shared" ref="C40:J40" si="11">C41+C42</f>
        <v>133.07273319999999</v>
      </c>
      <c r="D40" s="66">
        <f t="shared" si="11"/>
        <v>263.2</v>
      </c>
      <c r="E40" s="66">
        <f>E41+E42+0.1</f>
        <v>2954.32168</v>
      </c>
      <c r="F40" s="66">
        <f t="shared" si="11"/>
        <v>0</v>
      </c>
      <c r="G40" s="66">
        <f t="shared" si="11"/>
        <v>0</v>
      </c>
      <c r="H40" s="66">
        <f t="shared" si="11"/>
        <v>112.3</v>
      </c>
      <c r="I40" s="66">
        <f>I41+I42</f>
        <v>10.445603999999999</v>
      </c>
      <c r="J40" s="66">
        <f t="shared" si="11"/>
        <v>112.3</v>
      </c>
      <c r="K40" s="66">
        <f>K41+K42</f>
        <v>17.6304984</v>
      </c>
      <c r="L40" s="66">
        <f>L41+L42</f>
        <v>114.4</v>
      </c>
      <c r="M40" s="66">
        <f>M41+M42</f>
        <v>65.293227999999999</v>
      </c>
      <c r="N40" s="66">
        <f>SUM(C40,E40,G40,I40,K40)+M40-0.1</f>
        <v>3180.6637436000001</v>
      </c>
      <c r="O40" s="50"/>
      <c r="P40" s="59"/>
    </row>
    <row r="41" spans="1:16" ht="20.100000000000001" customHeight="1" thickBot="1" x14ac:dyDescent="0.35">
      <c r="A41" s="57" t="s">
        <v>23</v>
      </c>
      <c r="B41" s="66">
        <v>8.3000000000000007</v>
      </c>
      <c r="C41" s="58">
        <v>76</v>
      </c>
      <c r="D41" s="66">
        <v>168.5</v>
      </c>
      <c r="E41" s="66">
        <f>D41*ТАРИФЫ!F5/1000</f>
        <v>1807.4577119999999</v>
      </c>
      <c r="F41" s="66">
        <v>0</v>
      </c>
      <c r="G41" s="66">
        <f>F41*ТАРИФЫ!F5/1000</f>
        <v>0</v>
      </c>
      <c r="H41" s="66">
        <v>73.5</v>
      </c>
      <c r="I41" s="66">
        <f>H41*ТАРИФЫ!F10/1000</f>
        <v>6.5462039999999995</v>
      </c>
      <c r="J41" s="66">
        <f>H41</f>
        <v>73.5</v>
      </c>
      <c r="K41" s="66">
        <f>J41*ТАРИФЫ!F15/1000</f>
        <v>11.107908</v>
      </c>
      <c r="L41" s="66">
        <v>57.2</v>
      </c>
      <c r="M41" s="66">
        <f>L41*ТАРИФЫ!D26/1000</f>
        <v>31.726551999999998</v>
      </c>
      <c r="N41" s="66">
        <f>SUM(C41,E41,G41,I41,K41)+M41</f>
        <v>1932.8383759999999</v>
      </c>
      <c r="O41" s="50"/>
      <c r="P41" s="59"/>
    </row>
    <row r="42" spans="1:16" ht="20.100000000000001" customHeight="1" thickBot="1" x14ac:dyDescent="0.35">
      <c r="A42" s="57" t="s">
        <v>43</v>
      </c>
      <c r="B42" s="66">
        <v>5.0999999999999996</v>
      </c>
      <c r="C42" s="58">
        <f>B42*ТАРИФЫ!G21</f>
        <v>57.072733199999988</v>
      </c>
      <c r="D42" s="66">
        <v>94.7</v>
      </c>
      <c r="E42" s="66">
        <f>D42*ТАРИФЫ!G5/1000</f>
        <v>1146.7639680000002</v>
      </c>
      <c r="F42" s="66">
        <v>0</v>
      </c>
      <c r="G42" s="66">
        <f>F42*ТАРИФЫ!G5/1000</f>
        <v>0</v>
      </c>
      <c r="H42" s="66">
        <v>38.799999999999997</v>
      </c>
      <c r="I42" s="66">
        <f>H42*ТАРИФЫ!G10/1000</f>
        <v>3.8993999999999995</v>
      </c>
      <c r="J42" s="66">
        <v>38.799999999999997</v>
      </c>
      <c r="K42" s="66">
        <f>J42*ТАРИФЫ!G15/1000</f>
        <v>6.5225904000000003</v>
      </c>
      <c r="L42" s="66">
        <v>57.2</v>
      </c>
      <c r="M42" s="66">
        <f>L42*ТАРИФЫ!E26/1000</f>
        <v>33.566676000000008</v>
      </c>
      <c r="N42" s="66">
        <f>SUM(C42,E42,G42,I42,K42)+M42+0.1</f>
        <v>1247.9253675999998</v>
      </c>
      <c r="O42" s="50"/>
      <c r="P42" s="59"/>
    </row>
    <row r="43" spans="1:16" ht="70.5" customHeight="1" thickBot="1" x14ac:dyDescent="0.35">
      <c r="A43" s="57" t="s">
        <v>84</v>
      </c>
      <c r="B43" s="66">
        <f>B44+B45</f>
        <v>106</v>
      </c>
      <c r="C43" s="66">
        <f>C44+C45</f>
        <v>1051.5766944</v>
      </c>
      <c r="D43" s="66">
        <f t="shared" ref="D43:K43" si="12">D44+D45</f>
        <v>117.4</v>
      </c>
      <c r="E43" s="66">
        <f>E44+E45</f>
        <v>1340.3462015999999</v>
      </c>
      <c r="F43" s="66">
        <f t="shared" si="12"/>
        <v>0</v>
      </c>
      <c r="G43" s="66">
        <f t="shared" si="12"/>
        <v>0</v>
      </c>
      <c r="H43" s="66">
        <f t="shared" si="12"/>
        <v>0</v>
      </c>
      <c r="I43" s="66">
        <f t="shared" si="12"/>
        <v>0</v>
      </c>
      <c r="J43" s="66">
        <f t="shared" si="12"/>
        <v>0</v>
      </c>
      <c r="K43" s="66">
        <f t="shared" si="12"/>
        <v>0</v>
      </c>
      <c r="L43" s="66">
        <v>0</v>
      </c>
      <c r="M43" s="66">
        <v>0</v>
      </c>
      <c r="N43" s="66">
        <f>SUM(C43,E43,G43,I43,K43)+M43-0.1</f>
        <v>2391.8228960000001</v>
      </c>
      <c r="O43" s="50"/>
      <c r="P43" s="59"/>
    </row>
    <row r="44" spans="1:16" ht="20.100000000000001" customHeight="1" thickBot="1" x14ac:dyDescent="0.35">
      <c r="A44" s="57" t="s">
        <v>23</v>
      </c>
      <c r="B44" s="66">
        <v>66.8</v>
      </c>
      <c r="C44" s="58">
        <v>612.9</v>
      </c>
      <c r="D44" s="66">
        <v>58.8</v>
      </c>
      <c r="E44" s="66">
        <f>D44*ТАРИФЫ!F5/1000</f>
        <v>630.73301759999993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f>SUM(C44,E44,G44,I44,K44)+M44</f>
        <v>1243.6330175999999</v>
      </c>
      <c r="O44" s="50"/>
      <c r="P44" s="59"/>
    </row>
    <row r="45" spans="1:16" ht="20.100000000000001" customHeight="1" thickBot="1" x14ac:dyDescent="0.35">
      <c r="A45" s="57" t="s">
        <v>43</v>
      </c>
      <c r="B45" s="66">
        <v>39.200000000000003</v>
      </c>
      <c r="C45" s="58">
        <f>B45*ТАРИФЫ!G21</f>
        <v>438.67669439999997</v>
      </c>
      <c r="D45" s="66">
        <v>58.6</v>
      </c>
      <c r="E45" s="66">
        <f>D45*ТАРИФЫ!G5/1000</f>
        <v>709.61318400000005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f>SUM(C45,E45,G45,I45,K45)+M45</f>
        <v>1148.2898783999999</v>
      </c>
      <c r="O45" s="50"/>
      <c r="P45" s="59"/>
    </row>
    <row r="46" spans="1:16" ht="27" customHeight="1" thickBot="1" x14ac:dyDescent="0.35">
      <c r="A46" s="57" t="s">
        <v>46</v>
      </c>
      <c r="B46" s="66">
        <f>B47+B48</f>
        <v>0</v>
      </c>
      <c r="C46" s="66">
        <f t="shared" ref="C46:I46" si="13">C47+C48</f>
        <v>0</v>
      </c>
      <c r="D46" s="66">
        <f t="shared" si="13"/>
        <v>0</v>
      </c>
      <c r="E46" s="66">
        <f t="shared" si="13"/>
        <v>0</v>
      </c>
      <c r="F46" s="66">
        <f t="shared" si="13"/>
        <v>0</v>
      </c>
      <c r="G46" s="66">
        <f t="shared" si="13"/>
        <v>0</v>
      </c>
      <c r="H46" s="66">
        <f t="shared" si="13"/>
        <v>1000</v>
      </c>
      <c r="I46" s="66">
        <f t="shared" si="13"/>
        <v>95.925600000000003</v>
      </c>
      <c r="J46" s="66">
        <f>J47+J48</f>
        <v>1000</v>
      </c>
      <c r="K46" s="66">
        <f>K47+K48+0.1</f>
        <v>161.416</v>
      </c>
      <c r="L46" s="66">
        <v>0</v>
      </c>
      <c r="M46" s="66">
        <v>0</v>
      </c>
      <c r="N46" s="66">
        <f>SUM(C46,E46,G46,I46,K46)+M46</f>
        <v>257.34159999999997</v>
      </c>
      <c r="O46" s="50"/>
      <c r="P46" s="59"/>
    </row>
    <row r="47" spans="1:16" ht="20.100000000000001" customHeight="1" thickBot="1" x14ac:dyDescent="0.35">
      <c r="A47" s="57" t="s">
        <v>23</v>
      </c>
      <c r="B47" s="66">
        <v>0</v>
      </c>
      <c r="C47" s="58">
        <v>0</v>
      </c>
      <c r="D47" s="66">
        <v>0</v>
      </c>
      <c r="E47" s="66">
        <v>0</v>
      </c>
      <c r="F47" s="66">
        <v>0</v>
      </c>
      <c r="G47" s="66">
        <v>0</v>
      </c>
      <c r="H47" s="66">
        <v>400</v>
      </c>
      <c r="I47" s="66">
        <f>H47*ТАРИФЫ!F10/1000</f>
        <v>35.625599999999999</v>
      </c>
      <c r="J47" s="66">
        <f>H47</f>
        <v>400</v>
      </c>
      <c r="K47" s="66">
        <f>J47*ТАРИФЫ!F15/1000</f>
        <v>60.4512</v>
      </c>
      <c r="L47" s="66">
        <v>0</v>
      </c>
      <c r="M47" s="66">
        <f>L47*ТАРИФЫ!H15/1000</f>
        <v>0</v>
      </c>
      <c r="N47" s="66">
        <f>SUM(C47,E47,G47,I47,K47)+M47</f>
        <v>96.076799999999992</v>
      </c>
      <c r="O47" s="50"/>
      <c r="P47" s="59"/>
    </row>
    <row r="48" spans="1:16" ht="36" customHeight="1" thickBot="1" x14ac:dyDescent="0.35">
      <c r="A48" s="57" t="s">
        <v>43</v>
      </c>
      <c r="B48" s="66">
        <v>0</v>
      </c>
      <c r="C48" s="58">
        <f>B48*8.14</f>
        <v>0</v>
      </c>
      <c r="D48" s="66">
        <v>0</v>
      </c>
      <c r="E48" s="66">
        <v>0</v>
      </c>
      <c r="F48" s="66">
        <v>0</v>
      </c>
      <c r="G48" s="66">
        <v>0</v>
      </c>
      <c r="H48" s="66">
        <v>600</v>
      </c>
      <c r="I48" s="66">
        <f>H48*ТАРИФЫ!G10/1000</f>
        <v>60.3</v>
      </c>
      <c r="J48" s="66">
        <v>600</v>
      </c>
      <c r="K48" s="66">
        <f>J48*ТАРИФЫ!G15/1000</f>
        <v>100.8648</v>
      </c>
      <c r="L48" s="66">
        <v>0</v>
      </c>
      <c r="M48" s="66">
        <f>L48*ТАРИФЫ!H16/1000</f>
        <v>0</v>
      </c>
      <c r="N48" s="66">
        <f>SUM(C48,E48,G48,I48,K48)+M48</f>
        <v>161.16480000000001</v>
      </c>
      <c r="O48" s="50"/>
      <c r="P48" s="59"/>
    </row>
    <row r="49" spans="1:16" ht="30" customHeight="1" thickBot="1" x14ac:dyDescent="0.35">
      <c r="A49" s="86" t="s">
        <v>12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8"/>
      <c r="O49" s="50"/>
      <c r="P49" s="77"/>
    </row>
    <row r="50" spans="1:16" ht="66" customHeight="1" thickBot="1" x14ac:dyDescent="0.35">
      <c r="A50" s="57" t="s">
        <v>85</v>
      </c>
      <c r="B50" s="66">
        <f>B51+B52</f>
        <v>157.39999999999998</v>
      </c>
      <c r="C50" s="66">
        <f>C51+C52</f>
        <v>1722.1926095999997</v>
      </c>
      <c r="D50" s="66">
        <f t="shared" ref="D50:J50" si="14">D51+D52</f>
        <v>1845.1</v>
      </c>
      <c r="E50" s="66">
        <f>E51+E52+0.1</f>
        <v>20804.710806399999</v>
      </c>
      <c r="F50" s="66">
        <f t="shared" si="14"/>
        <v>117.1</v>
      </c>
      <c r="G50" s="66">
        <f>G51+G52-0.1</f>
        <v>1325.966672</v>
      </c>
      <c r="H50" s="66">
        <f t="shared" si="14"/>
        <v>3345</v>
      </c>
      <c r="I50" s="66">
        <f>I51+I52+0.1</f>
        <v>320.22664840000004</v>
      </c>
      <c r="J50" s="66">
        <f t="shared" si="14"/>
        <v>3345</v>
      </c>
      <c r="K50" s="66">
        <f>K51+K52-0.1</f>
        <v>538.39662199999998</v>
      </c>
      <c r="L50" s="66">
        <f>L51+L52</f>
        <v>140</v>
      </c>
      <c r="M50" s="66">
        <f>M51+M52</f>
        <v>79.904300000000006</v>
      </c>
      <c r="N50" s="66">
        <f>SUM(C50,E50,G50,I50,K50)+M50</f>
        <v>24791.397658399994</v>
      </c>
      <c r="O50" s="50"/>
      <c r="P50" s="59"/>
    </row>
    <row r="51" spans="1:16" ht="20.100000000000001" customHeight="1" thickBot="1" x14ac:dyDescent="0.35">
      <c r="A51" s="57" t="s">
        <v>23</v>
      </c>
      <c r="B51" s="58">
        <v>74.599999999999994</v>
      </c>
      <c r="C51" s="58">
        <v>795.6</v>
      </c>
      <c r="D51" s="66">
        <v>1112.7</v>
      </c>
      <c r="E51" s="66">
        <f>D51*ТАРИФЫ!F5/1000</f>
        <v>11935.656950399998</v>
      </c>
      <c r="F51" s="66">
        <v>66.5</v>
      </c>
      <c r="G51" s="66">
        <f>F51*ТАРИФЫ!F5/1000</f>
        <v>713.32900799999993</v>
      </c>
      <c r="H51" s="66">
        <v>1403.1</v>
      </c>
      <c r="I51" s="66">
        <f>H51*ТАРИФЫ!F10/1000</f>
        <v>124.96569839999998</v>
      </c>
      <c r="J51" s="66">
        <f>H51</f>
        <v>1403.1</v>
      </c>
      <c r="K51" s="66">
        <f>J51*ТАРИФЫ!F15/1000</f>
        <v>212.04769679999998</v>
      </c>
      <c r="L51" s="66">
        <v>70</v>
      </c>
      <c r="M51" s="66">
        <f>L51*ТАРИФЫ!D26/1000</f>
        <v>38.8262</v>
      </c>
      <c r="N51" s="66">
        <f>SUM(C51,E51,G51,I51,K51)+M51</f>
        <v>13820.425553599998</v>
      </c>
      <c r="O51" s="50"/>
      <c r="P51" s="59"/>
    </row>
    <row r="52" spans="1:16" ht="20.100000000000001" customHeight="1" thickBot="1" x14ac:dyDescent="0.35">
      <c r="A52" s="57" t="s">
        <v>43</v>
      </c>
      <c r="B52" s="58">
        <v>82.8</v>
      </c>
      <c r="C52" s="58">
        <f>B52*ТАРИФЫ!G21</f>
        <v>926.59260959999983</v>
      </c>
      <c r="D52" s="66">
        <v>732.4</v>
      </c>
      <c r="E52" s="66">
        <f>D52*ТАРИФЫ!G5/1000</f>
        <v>8868.9538560000001</v>
      </c>
      <c r="F52" s="66">
        <v>50.6</v>
      </c>
      <c r="G52" s="66">
        <f>F52*ТАРИФЫ!G5/1000</f>
        <v>612.737664</v>
      </c>
      <c r="H52" s="66">
        <v>1941.9</v>
      </c>
      <c r="I52" s="66">
        <f>H52*ТАРИФЫ!G10/1000</f>
        <v>195.16095000000001</v>
      </c>
      <c r="J52" s="66">
        <f>H52</f>
        <v>1941.9</v>
      </c>
      <c r="K52" s="66">
        <f>J52*ТАРИФЫ!G15/1000</f>
        <v>326.44892520000002</v>
      </c>
      <c r="L52" s="66">
        <v>70</v>
      </c>
      <c r="M52" s="66">
        <f>L52*ТАРИФЫ!E26/1000</f>
        <v>41.078100000000006</v>
      </c>
      <c r="N52" s="66">
        <f>SUM(C52,E52,G52,I52,K52)+M52</f>
        <v>10970.972104800001</v>
      </c>
      <c r="O52" s="50"/>
      <c r="P52" s="59"/>
    </row>
    <row r="53" spans="1:16" ht="71.25" customHeight="1" thickBot="1" x14ac:dyDescent="0.35">
      <c r="A53" s="57" t="s">
        <v>86</v>
      </c>
      <c r="B53" s="66">
        <f>B54+B55</f>
        <v>36.700000000000003</v>
      </c>
      <c r="C53" s="66">
        <f>C54+C55</f>
        <v>401.45742039999993</v>
      </c>
      <c r="D53" s="66">
        <f t="shared" ref="D53:K53" si="15">D54+D55</f>
        <v>381</v>
      </c>
      <c r="E53" s="66">
        <f t="shared" si="15"/>
        <v>8519.6654675999998</v>
      </c>
      <c r="F53" s="66">
        <f t="shared" si="15"/>
        <v>65.300000000000011</v>
      </c>
      <c r="G53" s="66">
        <f>G54+G55</f>
        <v>1578.4386675999999</v>
      </c>
      <c r="H53" s="66">
        <f t="shared" si="15"/>
        <v>1677.4</v>
      </c>
      <c r="I53" s="66">
        <f>I54+I55</f>
        <v>245.80331280000001</v>
      </c>
      <c r="J53" s="66">
        <f t="shared" si="15"/>
        <v>1677.4</v>
      </c>
      <c r="K53" s="66">
        <f t="shared" si="15"/>
        <v>268.10223999999999</v>
      </c>
      <c r="L53" s="66">
        <f>L54+L55</f>
        <v>49.8</v>
      </c>
      <c r="M53" s="66">
        <f>M54+M55</f>
        <v>28.423100999999999</v>
      </c>
      <c r="N53" s="66">
        <f>N54+N55</f>
        <v>11041.8902094</v>
      </c>
      <c r="O53" s="50"/>
      <c r="P53" s="59"/>
    </row>
    <row r="54" spans="1:16" ht="20.100000000000001" customHeight="1" thickBot="1" x14ac:dyDescent="0.35">
      <c r="A54" s="57" t="s">
        <v>23</v>
      </c>
      <c r="B54" s="58">
        <v>17</v>
      </c>
      <c r="C54" s="58">
        <v>181</v>
      </c>
      <c r="D54" s="66">
        <v>245.3</v>
      </c>
      <c r="E54" s="66">
        <v>4657.2</v>
      </c>
      <c r="F54" s="66">
        <v>29.6</v>
      </c>
      <c r="G54" s="66">
        <v>562.29999999999995</v>
      </c>
      <c r="H54" s="66">
        <v>771.4</v>
      </c>
      <c r="I54" s="66">
        <f>H54*ТАРИФЫ!F13/1000</f>
        <v>109.6097688</v>
      </c>
      <c r="J54" s="66">
        <f>H54</f>
        <v>771.4</v>
      </c>
      <c r="K54" s="66">
        <v>122.2</v>
      </c>
      <c r="L54" s="66">
        <v>24.9</v>
      </c>
      <c r="M54" s="66">
        <f>L54*ТАРИФЫ!D29/1000</f>
        <v>13.811033999999998</v>
      </c>
      <c r="N54" s="66">
        <f t="shared" ref="N54:N58" si="16">SUM(C54,E54,G54,I54,K54)+M54</f>
        <v>5646.1208028000001</v>
      </c>
      <c r="O54" s="50"/>
      <c r="P54" s="59"/>
    </row>
    <row r="55" spans="1:16" ht="20.100000000000001" customHeight="1" thickBot="1" x14ac:dyDescent="0.35">
      <c r="A55" s="57" t="s">
        <v>43</v>
      </c>
      <c r="B55" s="58">
        <v>19.7</v>
      </c>
      <c r="C55" s="58">
        <f>B55*ТАРИФЫ!G21</f>
        <v>220.45742039999996</v>
      </c>
      <c r="D55" s="66">
        <v>135.69999999999999</v>
      </c>
      <c r="E55" s="66">
        <f>D55*ТАРИФЫ!G8/1000</f>
        <v>3862.4654675999996</v>
      </c>
      <c r="F55" s="66">
        <v>35.700000000000003</v>
      </c>
      <c r="G55" s="66">
        <f>F55*ТАРИФЫ!G8/1000</f>
        <v>1016.1386676000001</v>
      </c>
      <c r="H55" s="66">
        <v>906</v>
      </c>
      <c r="I55" s="66">
        <f>H55*ТАРИФЫ!G13/1000</f>
        <v>136.193544</v>
      </c>
      <c r="J55" s="66">
        <f>H55</f>
        <v>906</v>
      </c>
      <c r="K55" s="66">
        <f>J55*ТАРИФЫ!G19/1000</f>
        <v>145.90223999999998</v>
      </c>
      <c r="L55" s="66">
        <v>24.9</v>
      </c>
      <c r="M55" s="66">
        <f>L55*ТАРИФЫ!E29/1000</f>
        <v>14.612067000000001</v>
      </c>
      <c r="N55" s="66">
        <f t="shared" si="16"/>
        <v>5395.7694065999995</v>
      </c>
      <c r="O55" s="50"/>
      <c r="P55" s="59"/>
    </row>
    <row r="56" spans="1:16" ht="72" customHeight="1" thickBot="1" x14ac:dyDescent="0.35">
      <c r="A56" s="61" t="s">
        <v>87</v>
      </c>
      <c r="B56" s="66">
        <f>B57+B58</f>
        <v>30.299999999999997</v>
      </c>
      <c r="C56" s="66">
        <f>C57+C58</f>
        <v>332.38522439999997</v>
      </c>
      <c r="D56" s="66">
        <f t="shared" ref="D56:J56" si="17">D57+D58</f>
        <v>470.8</v>
      </c>
      <c r="E56" s="66">
        <f>E57+E58</f>
        <v>12234.234385200001</v>
      </c>
      <c r="F56" s="66">
        <f t="shared" si="17"/>
        <v>0</v>
      </c>
      <c r="G56" s="66">
        <f t="shared" si="17"/>
        <v>0</v>
      </c>
      <c r="H56" s="66">
        <f t="shared" si="17"/>
        <v>572</v>
      </c>
      <c r="I56" s="66">
        <f>I57+I58</f>
        <v>53.2626852</v>
      </c>
      <c r="J56" s="66">
        <f t="shared" si="17"/>
        <v>572</v>
      </c>
      <c r="K56" s="66">
        <f>K57+K58</f>
        <v>86.320814399999989</v>
      </c>
      <c r="L56" s="66">
        <f>L57+L58</f>
        <v>13.8</v>
      </c>
      <c r="M56" s="66">
        <f>M57+M58-0.1</f>
        <v>7.7762810000000009</v>
      </c>
      <c r="N56" s="66">
        <f t="shared" si="16"/>
        <v>12713.979390200002</v>
      </c>
      <c r="O56" s="50"/>
      <c r="P56" s="59"/>
    </row>
    <row r="57" spans="1:16" ht="20.100000000000001" customHeight="1" thickBot="1" x14ac:dyDescent="0.35">
      <c r="A57" s="57" t="s">
        <v>23</v>
      </c>
      <c r="B57" s="62">
        <v>13.6</v>
      </c>
      <c r="C57" s="58">
        <v>145.5</v>
      </c>
      <c r="D57" s="66">
        <v>296.3</v>
      </c>
      <c r="E57" s="58">
        <f>D57*ТАРИФЫ!F7/1000</f>
        <v>7350.7478831999997</v>
      </c>
      <c r="F57" s="66">
        <v>0</v>
      </c>
      <c r="G57" s="58">
        <v>0</v>
      </c>
      <c r="H57" s="66">
        <v>369.3</v>
      </c>
      <c r="I57" s="58">
        <f>H57*ТАРИФЫ!F12/1000</f>
        <v>32.8913352</v>
      </c>
      <c r="J57" s="66">
        <f>H57</f>
        <v>369.3</v>
      </c>
      <c r="K57" s="58">
        <f>J57*ТАРИФЫ!F17/1000</f>
        <v>53.476117199999997</v>
      </c>
      <c r="L57" s="66">
        <v>6.9</v>
      </c>
      <c r="M57" s="66">
        <f>L57*ТАРИФЫ!D28/1000</f>
        <v>3.8271540000000002</v>
      </c>
      <c r="N57" s="66">
        <f t="shared" si="16"/>
        <v>7586.4424895999991</v>
      </c>
      <c r="O57" s="50"/>
      <c r="P57" s="59"/>
    </row>
    <row r="58" spans="1:16" ht="20.100000000000001" customHeight="1" thickBot="1" x14ac:dyDescent="0.35">
      <c r="A58" s="57" t="s">
        <v>43</v>
      </c>
      <c r="B58" s="58">
        <v>16.7</v>
      </c>
      <c r="C58" s="58">
        <f>B58*ТАРИФЫ!G21</f>
        <v>186.88522439999997</v>
      </c>
      <c r="D58" s="66">
        <v>174.5</v>
      </c>
      <c r="E58" s="58">
        <f>D58*ТАРИФЫ!G7/1000</f>
        <v>4883.4865020000007</v>
      </c>
      <c r="F58" s="66">
        <v>0</v>
      </c>
      <c r="G58" s="58">
        <v>0</v>
      </c>
      <c r="H58" s="66">
        <v>202.7</v>
      </c>
      <c r="I58" s="58">
        <f>H58*ТАРИФЫ!G12/1000</f>
        <v>20.37135</v>
      </c>
      <c r="J58" s="66">
        <f>H58</f>
        <v>202.7</v>
      </c>
      <c r="K58" s="58">
        <f>J58*ТАРИФЫ!G17/1000</f>
        <v>32.844697199999992</v>
      </c>
      <c r="L58" s="66">
        <v>6.9</v>
      </c>
      <c r="M58" s="66">
        <f>L58*ТАРИФЫ!E28/1000</f>
        <v>4.0491270000000004</v>
      </c>
      <c r="N58" s="66">
        <f t="shared" si="16"/>
        <v>5127.6369006000014</v>
      </c>
      <c r="O58" s="50"/>
      <c r="P58" s="59"/>
    </row>
    <row r="59" spans="1:16" ht="69.75" customHeight="1" thickBot="1" x14ac:dyDescent="0.35">
      <c r="A59" s="57" t="s">
        <v>88</v>
      </c>
      <c r="B59" s="66">
        <f>B60+B61</f>
        <v>108</v>
      </c>
      <c r="C59" s="66">
        <f>C60+C61</f>
        <v>1182.0442704</v>
      </c>
      <c r="D59" s="66">
        <f t="shared" ref="D59:J59" si="18">D60+D61</f>
        <v>781.5</v>
      </c>
      <c r="E59" s="66">
        <f>E60+E61-0.1</f>
        <v>8833.059900799999</v>
      </c>
      <c r="F59" s="66">
        <f t="shared" si="18"/>
        <v>122.9</v>
      </c>
      <c r="G59" s="66">
        <f>G60+G61</f>
        <v>1393.9508544</v>
      </c>
      <c r="H59" s="66">
        <f t="shared" si="18"/>
        <v>3819.6</v>
      </c>
      <c r="I59" s="66">
        <f>I60+I61</f>
        <v>360.59753999999998</v>
      </c>
      <c r="J59" s="66">
        <f t="shared" si="18"/>
        <v>3819.6</v>
      </c>
      <c r="K59" s="66">
        <f>K60+K61-0.1</f>
        <v>607.45101680000005</v>
      </c>
      <c r="L59" s="66">
        <f t="shared" ref="L59" si="19">L60+L61</f>
        <v>197</v>
      </c>
      <c r="M59" s="66">
        <f>M60+M61</f>
        <v>112.43676500000001</v>
      </c>
      <c r="N59" s="66">
        <f>SUM(C59,E59,G59,I59,K59)+M59+0.1</f>
        <v>12489.6403474</v>
      </c>
      <c r="O59" s="50"/>
      <c r="P59" s="59"/>
    </row>
    <row r="60" spans="1:16" ht="20.100000000000001" customHeight="1" thickBot="1" x14ac:dyDescent="0.35">
      <c r="A60" s="57" t="s">
        <v>23</v>
      </c>
      <c r="B60" s="58">
        <v>50.8</v>
      </c>
      <c r="C60" s="58">
        <f>B60*ТАРИФЫ!F21</f>
        <v>541.93439999999998</v>
      </c>
      <c r="D60" s="66">
        <v>455.9</v>
      </c>
      <c r="E60" s="66">
        <f>D60*ТАРИФЫ!F5/1000</f>
        <v>4890.3262367999987</v>
      </c>
      <c r="F60" s="66">
        <v>68.2</v>
      </c>
      <c r="G60" s="66">
        <f>F60*ТАРИФЫ!F5/1000</f>
        <v>731.56448639999996</v>
      </c>
      <c r="H60" s="66">
        <v>2035</v>
      </c>
      <c r="I60" s="66">
        <f>H60*ТАРИФЫ!F10/1000</f>
        <v>181.24524</v>
      </c>
      <c r="J60" s="66">
        <f>H60</f>
        <v>2035</v>
      </c>
      <c r="K60" s="66">
        <f>J60*ТАРИФЫ!F15/1000</f>
        <v>307.54548</v>
      </c>
      <c r="L60" s="66">
        <v>98.5</v>
      </c>
      <c r="M60" s="66">
        <f>L60*ТАРИФЫ!D26/1000</f>
        <v>54.634009999999996</v>
      </c>
      <c r="N60" s="66">
        <f>SUM(C60,E60,G60,I60,K60)+M60-0.1</f>
        <v>6707.1498531999978</v>
      </c>
      <c r="O60" s="50"/>
      <c r="P60" s="59"/>
    </row>
    <row r="61" spans="1:16" ht="20.100000000000001" customHeight="1" thickBot="1" x14ac:dyDescent="0.35">
      <c r="A61" s="57" t="s">
        <v>43</v>
      </c>
      <c r="B61" s="58">
        <v>57.2</v>
      </c>
      <c r="C61" s="58">
        <f>B61*ТАРИФЫ!G21</f>
        <v>640.10987039999998</v>
      </c>
      <c r="D61" s="66">
        <v>325.60000000000002</v>
      </c>
      <c r="E61" s="66">
        <f>D61*ТАРИФЫ!G5/1000</f>
        <v>3942.8336640000002</v>
      </c>
      <c r="F61" s="66">
        <v>54.7</v>
      </c>
      <c r="G61" s="66">
        <f>F61*ТАРИФЫ!G5/1000</f>
        <v>662.38636800000006</v>
      </c>
      <c r="H61" s="66">
        <v>1784.6</v>
      </c>
      <c r="I61" s="66">
        <f>H61*ТАРИФЫ!G10/1000</f>
        <v>179.35229999999999</v>
      </c>
      <c r="J61" s="66">
        <f>H61</f>
        <v>1784.6</v>
      </c>
      <c r="K61" s="66">
        <f>J61*ТАРИФЫ!G15/1000</f>
        <v>300.00553680000002</v>
      </c>
      <c r="L61" s="66">
        <v>98.5</v>
      </c>
      <c r="M61" s="66">
        <f>L61*ТАРИФЫ!E26/1000</f>
        <v>57.802755000000005</v>
      </c>
      <c r="N61" s="66">
        <f>SUM(C61,E61,G61,I61,K61)+M61</f>
        <v>5782.4904942000003</v>
      </c>
      <c r="O61" s="50"/>
      <c r="P61" s="59"/>
    </row>
    <row r="62" spans="1:16" ht="63.75" customHeight="1" thickBot="1" x14ac:dyDescent="0.35">
      <c r="A62" s="57" t="s">
        <v>89</v>
      </c>
      <c r="B62" s="66">
        <f>B63+B64</f>
        <v>61.900000000000006</v>
      </c>
      <c r="C62" s="66">
        <f>C63+C64</f>
        <v>662.48327640000002</v>
      </c>
      <c r="D62" s="66">
        <f t="shared" ref="D62:J62" si="20">D63+D64</f>
        <v>588.09999999999991</v>
      </c>
      <c r="E62" s="66">
        <f>E63+E64</f>
        <v>6713.8069727999991</v>
      </c>
      <c r="F62" s="66">
        <f t="shared" si="20"/>
        <v>81.199999999999989</v>
      </c>
      <c r="G62" s="66">
        <f>G63+G64</f>
        <v>958.53641279999999</v>
      </c>
      <c r="H62" s="66">
        <f t="shared" si="20"/>
        <v>3105</v>
      </c>
      <c r="I62" s="66">
        <f>I63+I64</f>
        <v>292.08295679999998</v>
      </c>
      <c r="J62" s="66">
        <f t="shared" si="20"/>
        <v>3105</v>
      </c>
      <c r="K62" s="66">
        <f>K63+K64</f>
        <v>492.32486399999993</v>
      </c>
      <c r="L62" s="66">
        <f t="shared" ref="L62" si="21">L63+L64</f>
        <v>67.8</v>
      </c>
      <c r="M62" s="66">
        <f>M63+M64</f>
        <v>38.696511000000001</v>
      </c>
      <c r="N62" s="66">
        <f>SUM(C62,E62,G62,I62,K62)+M62</f>
        <v>9157.9309938000006</v>
      </c>
      <c r="O62" s="50"/>
      <c r="P62" s="59"/>
    </row>
    <row r="63" spans="1:16" ht="20.100000000000001" customHeight="1" thickBot="1" x14ac:dyDescent="0.35">
      <c r="A63" s="57" t="s">
        <v>23</v>
      </c>
      <c r="B63" s="58">
        <v>34.200000000000003</v>
      </c>
      <c r="C63" s="58">
        <v>352.5</v>
      </c>
      <c r="D63" s="66">
        <v>294.89999999999998</v>
      </c>
      <c r="E63" s="66">
        <f>D63*ТАРИФЫ!F5/1000</f>
        <v>3163.3191647999993</v>
      </c>
      <c r="F63" s="66">
        <v>17.899999999999999</v>
      </c>
      <c r="G63" s="66">
        <f>F63*ТАРИФЫ!F5/1000</f>
        <v>192.00886079999998</v>
      </c>
      <c r="H63" s="66">
        <v>1746.2</v>
      </c>
      <c r="I63" s="66">
        <f>H63*ТАРИФЫ!F10/1000</f>
        <v>155.52355679999999</v>
      </c>
      <c r="J63" s="66">
        <f>H63</f>
        <v>1746.2</v>
      </c>
      <c r="K63" s="66">
        <f>J63*ТАРИФЫ!F15/1000</f>
        <v>263.89971359999998</v>
      </c>
      <c r="L63" s="66">
        <v>33.9</v>
      </c>
      <c r="M63" s="66">
        <f>L63*ТАРИФЫ!D26/1000</f>
        <v>18.802973999999999</v>
      </c>
      <c r="N63" s="66">
        <f>SUM(C63,E63,G63,I63,K63)+M63-0.1</f>
        <v>4145.9542699999993</v>
      </c>
      <c r="O63" s="50"/>
      <c r="P63" s="59"/>
    </row>
    <row r="64" spans="1:16" ht="20.100000000000001" customHeight="1" thickBot="1" x14ac:dyDescent="0.35">
      <c r="A64" s="57" t="s">
        <v>43</v>
      </c>
      <c r="B64" s="58">
        <v>27.7</v>
      </c>
      <c r="C64" s="58">
        <f>B64*ТАРИФЫ!G21</f>
        <v>309.98327639999997</v>
      </c>
      <c r="D64" s="66">
        <v>293.2</v>
      </c>
      <c r="E64" s="66">
        <f>D64*ТАРИФЫ!G5/1000</f>
        <v>3550.4878080000003</v>
      </c>
      <c r="F64" s="66">
        <v>63.3</v>
      </c>
      <c r="G64" s="66">
        <f>F64*ТАРИФЫ!G5/1000</f>
        <v>766.52755200000001</v>
      </c>
      <c r="H64" s="66">
        <v>1358.8</v>
      </c>
      <c r="I64" s="66">
        <f>H64*ТАРИФЫ!G10/1000</f>
        <v>136.55939999999998</v>
      </c>
      <c r="J64" s="66">
        <f>H64</f>
        <v>1358.8</v>
      </c>
      <c r="K64" s="66">
        <f>J64*ТАРИФЫ!G15/1000</f>
        <v>228.42515039999998</v>
      </c>
      <c r="L64" s="66">
        <v>33.9</v>
      </c>
      <c r="M64" s="66">
        <f>L64*ТАРИФЫ!E26/1000</f>
        <v>19.893537000000002</v>
      </c>
      <c r="N64" s="66">
        <f>SUM(C64,E64,G64,I64,K64)+M64</f>
        <v>5011.8767238</v>
      </c>
      <c r="O64" s="50"/>
      <c r="P64" s="59"/>
    </row>
    <row r="65" spans="1:16" ht="63.75" customHeight="1" thickBot="1" x14ac:dyDescent="0.35">
      <c r="A65" s="57" t="s">
        <v>90</v>
      </c>
      <c r="B65" s="66">
        <f>B66+B67</f>
        <v>52.6</v>
      </c>
      <c r="C65" s="66">
        <f>C66+C67</f>
        <v>575.16420319999997</v>
      </c>
      <c r="D65" s="66">
        <f t="shared" ref="D65:J65" si="22">D66+D67</f>
        <v>881.9</v>
      </c>
      <c r="E65" s="66">
        <f>E66+E67</f>
        <v>20060.497473199997</v>
      </c>
      <c r="F65" s="66">
        <f t="shared" si="22"/>
        <v>46.2</v>
      </c>
      <c r="G65" s="66">
        <f>G66+G67</f>
        <v>1082.4529155999999</v>
      </c>
      <c r="H65" s="66">
        <f t="shared" si="22"/>
        <v>2257.6999999999998</v>
      </c>
      <c r="I65" s="66">
        <f>I66+I67</f>
        <v>329.12119079999997</v>
      </c>
      <c r="J65" s="66">
        <f t="shared" si="22"/>
        <v>2257.6999999999998</v>
      </c>
      <c r="K65" s="66">
        <f>K66+K67+0.1</f>
        <v>342.32638000000003</v>
      </c>
      <c r="L65" s="66">
        <f>L66+L67</f>
        <v>93.6</v>
      </c>
      <c r="M65" s="66">
        <f>M66+M67+0.1</f>
        <v>53.521731999999993</v>
      </c>
      <c r="N65" s="66">
        <f>SUM(C65,E65,G65,I65,K65)+M65</f>
        <v>22443.083894799998</v>
      </c>
      <c r="O65" s="50"/>
      <c r="P65" s="59"/>
    </row>
    <row r="66" spans="1:16" ht="20.100000000000001" customHeight="1" thickBot="1" x14ac:dyDescent="0.35">
      <c r="A66" s="57" t="s">
        <v>23</v>
      </c>
      <c r="B66" s="58">
        <v>25</v>
      </c>
      <c r="C66" s="58">
        <v>266.3</v>
      </c>
      <c r="D66" s="66">
        <v>532</v>
      </c>
      <c r="E66" s="66">
        <v>10101.200000000001</v>
      </c>
      <c r="F66" s="66">
        <v>24.5</v>
      </c>
      <c r="G66" s="66">
        <v>464.8</v>
      </c>
      <c r="H66" s="66">
        <v>1247</v>
      </c>
      <c r="I66" s="66">
        <f>H66*ТАРИФЫ!F13/1000</f>
        <v>177.18872399999998</v>
      </c>
      <c r="J66" s="66">
        <v>1247</v>
      </c>
      <c r="K66" s="66">
        <f>J66*ТАРИФЫ!F19/1000</f>
        <v>179.46325200000001</v>
      </c>
      <c r="L66" s="66">
        <v>46.8</v>
      </c>
      <c r="M66" s="66">
        <f>L66*ТАРИФЫ!D29/1000</f>
        <v>25.958087999999996</v>
      </c>
      <c r="N66" s="66">
        <f>SUM(C66,E66,G66,I66,K66)+M66+0.1</f>
        <v>11215.010063999998</v>
      </c>
      <c r="O66" s="50"/>
      <c r="P66" s="59"/>
    </row>
    <row r="67" spans="1:16" ht="20.100000000000001" customHeight="1" thickBot="1" x14ac:dyDescent="0.35">
      <c r="A67" s="57" t="s">
        <v>43</v>
      </c>
      <c r="B67" s="58">
        <v>27.6</v>
      </c>
      <c r="C67" s="58">
        <f>B67*ТАРИФЫ!G21</f>
        <v>308.86420319999996</v>
      </c>
      <c r="D67" s="66">
        <v>349.9</v>
      </c>
      <c r="E67" s="66">
        <f>D67*ТАРИФЫ!G8/1000</f>
        <v>9959.2974731999984</v>
      </c>
      <c r="F67" s="66">
        <v>21.7</v>
      </c>
      <c r="G67" s="66">
        <f>F67*ТАРИФЫ!G8/1000</f>
        <v>617.65291559999991</v>
      </c>
      <c r="H67" s="66">
        <v>1010.7</v>
      </c>
      <c r="I67" s="66">
        <f>H67*ТАРИФЫ!G13/1000</f>
        <v>151.93246679999999</v>
      </c>
      <c r="J67" s="66">
        <f>H67</f>
        <v>1010.7</v>
      </c>
      <c r="K67" s="66">
        <f>J67*ТАРИФЫ!G19/1000</f>
        <v>162.76312799999999</v>
      </c>
      <c r="L67" s="66">
        <v>46.8</v>
      </c>
      <c r="M67" s="66">
        <f>L67*ТАРИФЫ!E26/1000</f>
        <v>27.463643999999999</v>
      </c>
      <c r="N67" s="66">
        <f>SUM(C67,E67,G67,I67,K67)+M67+0.1</f>
        <v>11228.0738308</v>
      </c>
      <c r="O67" s="50"/>
      <c r="P67" s="59"/>
    </row>
    <row r="68" spans="1:16" ht="48" customHeight="1" thickBot="1" x14ac:dyDescent="0.35">
      <c r="A68" s="57" t="s">
        <v>91</v>
      </c>
      <c r="B68" s="66">
        <f>B69+B70</f>
        <v>104.9</v>
      </c>
      <c r="C68" s="66">
        <f>C69+C70</f>
        <v>1131.0888</v>
      </c>
      <c r="D68" s="66">
        <f t="shared" ref="D68:J68" si="23">D69+D70</f>
        <v>633.9</v>
      </c>
      <c r="E68" s="66">
        <f>E69+E70</f>
        <v>17086.920975599998</v>
      </c>
      <c r="F68" s="66">
        <f>F69+F70</f>
        <v>0</v>
      </c>
      <c r="G68" s="66">
        <f t="shared" si="23"/>
        <v>0</v>
      </c>
      <c r="H68" s="66">
        <f t="shared" si="23"/>
        <v>87</v>
      </c>
      <c r="I68" s="66">
        <f>I69+I70</f>
        <v>10.295787600000001</v>
      </c>
      <c r="J68" s="66">
        <f t="shared" si="23"/>
        <v>87</v>
      </c>
      <c r="K68" s="66">
        <f>K69+K70</f>
        <v>3.3802727999999993</v>
      </c>
      <c r="L68" s="66">
        <f>L69+L70</f>
        <v>30</v>
      </c>
      <c r="M68" s="66">
        <f>M69+M70</f>
        <v>17.122350000000001</v>
      </c>
      <c r="N68" s="66">
        <f t="shared" ref="N68:N70" si="24">SUM(C68,E68,G68,I68,K68)+M68</f>
        <v>18248.808186000002</v>
      </c>
      <c r="O68" s="50"/>
      <c r="P68" s="59"/>
    </row>
    <row r="69" spans="1:16" ht="20.100000000000001" customHeight="1" thickBot="1" x14ac:dyDescent="0.35">
      <c r="A69" s="57" t="s">
        <v>23</v>
      </c>
      <c r="B69" s="58">
        <v>65</v>
      </c>
      <c r="C69" s="58">
        <f>B69*ТАРИФЫ!F22</f>
        <v>663.78</v>
      </c>
      <c r="D69" s="66">
        <v>398</v>
      </c>
      <c r="E69" s="66">
        <f>D69*ТАРИФЫ!F6/1000</f>
        <v>10328.649240000001</v>
      </c>
      <c r="F69" s="66">
        <v>0</v>
      </c>
      <c r="G69" s="58">
        <v>0</v>
      </c>
      <c r="H69" s="66">
        <v>43.7</v>
      </c>
      <c r="I69" s="66">
        <f>H69*ТАРИФЫ!F11/1000</f>
        <v>4.9859952000000005</v>
      </c>
      <c r="J69" s="66">
        <f>H69</f>
        <v>43.7</v>
      </c>
      <c r="K69" s="66">
        <f>J69*ТАРИФЫ!F16/1000</f>
        <v>1.5627119999999999</v>
      </c>
      <c r="L69" s="66">
        <v>15</v>
      </c>
      <c r="M69" s="66">
        <f>L69*ТАРИФЫ!D27/1000</f>
        <v>8.3199000000000005</v>
      </c>
      <c r="N69" s="66">
        <f>SUM(C69,E69,G69,I69,K69)+M69</f>
        <v>11007.297847200003</v>
      </c>
      <c r="O69" s="50"/>
      <c r="P69" s="59"/>
    </row>
    <row r="70" spans="1:16" ht="20.100000000000001" customHeight="1" thickBot="1" x14ac:dyDescent="0.35">
      <c r="A70" s="57" t="s">
        <v>43</v>
      </c>
      <c r="B70" s="58">
        <v>39.9</v>
      </c>
      <c r="C70" s="58">
        <f>B70*ТАРИФЫ!G22</f>
        <v>467.30879999999996</v>
      </c>
      <c r="D70" s="66">
        <v>235.9</v>
      </c>
      <c r="E70" s="66">
        <f>D70*ТАРИФЫ!G6/1000</f>
        <v>6758.2717355999994</v>
      </c>
      <c r="F70" s="66">
        <v>0</v>
      </c>
      <c r="G70" s="58">
        <v>0</v>
      </c>
      <c r="H70" s="66">
        <v>43.3</v>
      </c>
      <c r="I70" s="66">
        <f>H70*ТАРИФЫ!G11/1000</f>
        <v>5.3097923999999992</v>
      </c>
      <c r="J70" s="66">
        <f>H70</f>
        <v>43.3</v>
      </c>
      <c r="K70" s="66">
        <f>J70*ТАРИФЫ!G16/1000</f>
        <v>1.8175607999999994</v>
      </c>
      <c r="L70" s="66">
        <v>15</v>
      </c>
      <c r="M70" s="66">
        <f>L70*ТАРИФЫ!E26/1000</f>
        <v>8.8024500000000003</v>
      </c>
      <c r="N70" s="66">
        <f t="shared" si="24"/>
        <v>7241.5103387999998</v>
      </c>
      <c r="O70" s="50"/>
      <c r="P70" s="59"/>
    </row>
    <row r="71" spans="1:16" ht="82.5" customHeight="1" thickBot="1" x14ac:dyDescent="0.35">
      <c r="A71" s="57" t="s">
        <v>92</v>
      </c>
      <c r="B71" s="66">
        <f>B72+B73</f>
        <v>39.1</v>
      </c>
      <c r="C71" s="66">
        <f>C72+C73</f>
        <v>427.52907919999996</v>
      </c>
      <c r="D71" s="66">
        <f t="shared" ref="D71:J71" si="25">D72+D73</f>
        <v>249.79999999999998</v>
      </c>
      <c r="E71" s="66">
        <f>E72+E73</f>
        <v>2878.9262591999995</v>
      </c>
      <c r="F71" s="66">
        <f t="shared" si="25"/>
        <v>5.5</v>
      </c>
      <c r="G71" s="66">
        <f t="shared" si="25"/>
        <v>62.868662399999998</v>
      </c>
      <c r="H71" s="66">
        <f t="shared" si="25"/>
        <v>430.70000000000005</v>
      </c>
      <c r="I71" s="66">
        <f>I72+I73</f>
        <v>40.036382400000001</v>
      </c>
      <c r="J71" s="66">
        <f t="shared" si="25"/>
        <v>430.70000000000005</v>
      </c>
      <c r="K71" s="66">
        <f>K72+K73-0.1</f>
        <v>67.480097600000008</v>
      </c>
      <c r="L71" s="66">
        <f>L72+L73</f>
        <v>35.799999999999997</v>
      </c>
      <c r="M71" s="66">
        <f>M72+M73</f>
        <v>20.432670999999999</v>
      </c>
      <c r="N71" s="66">
        <f>SUM(C71,E71,G71,I71,K71)+M71-0.1</f>
        <v>3497.1731518000001</v>
      </c>
      <c r="O71" s="50"/>
      <c r="P71" s="59"/>
    </row>
    <row r="72" spans="1:16" ht="20.100000000000001" customHeight="1" thickBot="1" x14ac:dyDescent="0.35">
      <c r="A72" s="60" t="s">
        <v>23</v>
      </c>
      <c r="B72" s="58">
        <v>18.5</v>
      </c>
      <c r="C72" s="58">
        <v>197</v>
      </c>
      <c r="D72" s="66">
        <v>105.6</v>
      </c>
      <c r="E72" s="66">
        <f>D72*ТАРИФЫ!F5/1000</f>
        <v>1132.7450111999999</v>
      </c>
      <c r="F72" s="66">
        <v>2.7</v>
      </c>
      <c r="G72" s="66">
        <f>F72*ТАРИФЫ!F5/1000</f>
        <v>28.962230399999996</v>
      </c>
      <c r="H72" s="66">
        <v>284.10000000000002</v>
      </c>
      <c r="I72" s="66">
        <f>H72*ТАРИФЫ!F10/1000</f>
        <v>25.303082400000001</v>
      </c>
      <c r="J72" s="66">
        <f>H72</f>
        <v>284.10000000000002</v>
      </c>
      <c r="K72" s="66">
        <f>J72*ТАРИФЫ!F15/1000</f>
        <v>42.935464799999998</v>
      </c>
      <c r="L72" s="66">
        <v>17.899999999999999</v>
      </c>
      <c r="M72" s="66">
        <f>L72*ТАРИФЫ!D26/1000</f>
        <v>9.9284139999999983</v>
      </c>
      <c r="N72" s="66">
        <f>SUM(C72,E72,G72,I72,K72)+M72-0.1</f>
        <v>1436.7742028</v>
      </c>
      <c r="O72" s="50"/>
      <c r="P72" s="59"/>
    </row>
    <row r="73" spans="1:16" ht="20.100000000000001" customHeight="1" thickBot="1" x14ac:dyDescent="0.35">
      <c r="A73" s="60" t="s">
        <v>43</v>
      </c>
      <c r="B73" s="58">
        <v>20.6</v>
      </c>
      <c r="C73" s="58">
        <f>B73*ТАРИФЫ!G21</f>
        <v>230.52907919999998</v>
      </c>
      <c r="D73" s="66">
        <v>144.19999999999999</v>
      </c>
      <c r="E73" s="66">
        <f>D73*ТАРИФЫ!G5/1000</f>
        <v>1746.1812479999999</v>
      </c>
      <c r="F73" s="66">
        <v>2.8</v>
      </c>
      <c r="G73" s="66">
        <f>F73*ТАРИФЫ!G5/1000</f>
        <v>33.906432000000002</v>
      </c>
      <c r="H73" s="66">
        <v>146.6</v>
      </c>
      <c r="I73" s="66">
        <f>H73*ТАРИФЫ!G10/1000</f>
        <v>14.7333</v>
      </c>
      <c r="J73" s="66">
        <f>H73</f>
        <v>146.6</v>
      </c>
      <c r="K73" s="66">
        <f>J73*ТАРИФЫ!G15/1000</f>
        <v>24.6446328</v>
      </c>
      <c r="L73" s="66">
        <v>17.899999999999999</v>
      </c>
      <c r="M73" s="66">
        <f>L73*ТАРИФЫ!E26/1000</f>
        <v>10.504256999999999</v>
      </c>
      <c r="N73" s="66">
        <f>SUM(C73,E73,G73,I73,K73)+M73-0.1</f>
        <v>2060.3989490000004</v>
      </c>
      <c r="O73" s="50"/>
      <c r="P73" s="59"/>
    </row>
    <row r="74" spans="1:16" ht="29.25" customHeight="1" thickBot="1" x14ac:dyDescent="0.35">
      <c r="A74" s="60" t="s">
        <v>11</v>
      </c>
      <c r="B74" s="66">
        <f>B75+B76</f>
        <v>590.9</v>
      </c>
      <c r="C74" s="66">
        <f>C75+C76</f>
        <v>6434.4448835999992</v>
      </c>
      <c r="D74" s="66">
        <f t="shared" ref="D74:L74" si="26">D75+D76</f>
        <v>5832.0999999999995</v>
      </c>
      <c r="E74" s="66">
        <f>E75+E76</f>
        <v>97131.8222408</v>
      </c>
      <c r="F74" s="66">
        <f t="shared" si="26"/>
        <v>438.20000000000005</v>
      </c>
      <c r="G74" s="66">
        <f>G75+G76</f>
        <v>6402.3141848000005</v>
      </c>
      <c r="H74" s="66">
        <f t="shared" si="26"/>
        <v>15294.400000000001</v>
      </c>
      <c r="I74" s="66">
        <f>I75+I76</f>
        <v>1651.426504</v>
      </c>
      <c r="J74" s="66">
        <f t="shared" si="26"/>
        <v>15294.400000000001</v>
      </c>
      <c r="K74" s="66">
        <f>K75+K76</f>
        <v>2405.7823075999995</v>
      </c>
      <c r="L74" s="66">
        <f t="shared" si="26"/>
        <v>627.79999999999995</v>
      </c>
      <c r="M74" s="66">
        <f>M75+M76</f>
        <v>358.21371099999999</v>
      </c>
      <c r="N74" s="66">
        <f>N75+N76</f>
        <v>114383.90383180001</v>
      </c>
      <c r="O74" s="50"/>
      <c r="P74" s="59"/>
    </row>
    <row r="75" spans="1:16" ht="22.5" customHeight="1" thickBot="1" x14ac:dyDescent="0.35">
      <c r="A75" s="60" t="s">
        <v>23</v>
      </c>
      <c r="B75" s="58">
        <f>B51+B54+B57+B60+B63+B66+B69+B72</f>
        <v>298.7</v>
      </c>
      <c r="C75" s="58">
        <f>C72+C69+C66+C63+C60+C57+C54+C51</f>
        <v>3143.6143999999999</v>
      </c>
      <c r="D75" s="58">
        <f t="shared" ref="D75:J75" si="27">D51+D54+D57+D60+D63+D66+D69+D72</f>
        <v>3440.7</v>
      </c>
      <c r="E75" s="58">
        <f>E51+E54+E57+E60+E63+E66+E69+E72-0.1</f>
        <v>53559.744486399999</v>
      </c>
      <c r="F75" s="58">
        <f t="shared" si="27"/>
        <v>209.4</v>
      </c>
      <c r="G75" s="58">
        <f>G51+G54+G57+G60+G63+G66+G69+G72</f>
        <v>2692.9645856000002</v>
      </c>
      <c r="H75" s="58">
        <f t="shared" si="27"/>
        <v>7899.8</v>
      </c>
      <c r="I75" s="58">
        <f>I51+I54+I57+I60+I63+I66+I69+I72</f>
        <v>811.71340080000004</v>
      </c>
      <c r="J75" s="58">
        <f t="shared" si="27"/>
        <v>7899.8</v>
      </c>
      <c r="K75" s="58">
        <f>K51+K54+K57+K60+K63+K66+K69+K72</f>
        <v>1183.1304364</v>
      </c>
      <c r="L75" s="58">
        <f>L51+L54+L57+L60+L63+L66+L69+L72</f>
        <v>313.89999999999998</v>
      </c>
      <c r="M75" s="58">
        <f>M51+M54+M57+M60+M63+M66+M69+M72-0.1</f>
        <v>174.00777400000001</v>
      </c>
      <c r="N75" s="66">
        <f>SUM(C75,E75,G75,I75,K75)+M75-0.1</f>
        <v>61565.075083199998</v>
      </c>
      <c r="O75" s="50"/>
      <c r="P75" s="59"/>
    </row>
    <row r="76" spans="1:16" ht="23.25" customHeight="1" thickBot="1" x14ac:dyDescent="0.35">
      <c r="A76" s="60" t="s">
        <v>43</v>
      </c>
      <c r="B76" s="58">
        <f>B52+B55+B58+B61+B64+B67+B70+B73</f>
        <v>292.2</v>
      </c>
      <c r="C76" s="58">
        <f>C52+C55+C58+C61+C64+C67+C70+C73+0.1</f>
        <v>3290.8304835999993</v>
      </c>
      <c r="D76" s="58">
        <f t="shared" ref="D76:J76" si="28">D52+D55+D58+D61+D64+D67+D70+D73</f>
        <v>2391.3999999999996</v>
      </c>
      <c r="E76" s="58">
        <f>E52+E55+E58+E61+E64+E67+E70+E73+0.1</f>
        <v>43572.077754400001</v>
      </c>
      <c r="F76" s="58">
        <f t="shared" si="28"/>
        <v>228.8</v>
      </c>
      <c r="G76" s="58">
        <f>G52+G55+G58+G61+G64+G67+G70+G73</f>
        <v>3709.3495992000003</v>
      </c>
      <c r="H76" s="58">
        <f t="shared" si="28"/>
        <v>7394.6</v>
      </c>
      <c r="I76" s="58">
        <f>I52+I55+I58+I61+I64+I67+I70+I73+0.1</f>
        <v>839.71310320000009</v>
      </c>
      <c r="J76" s="58">
        <f t="shared" si="28"/>
        <v>7394.6</v>
      </c>
      <c r="K76" s="58">
        <f>K52+K55+K58+K61+K64+K67+K70+K73-0.2</f>
        <v>1222.6518711999997</v>
      </c>
      <c r="L76" s="58">
        <f>L52+L55+L58+L61+L64+L67+L70+L73</f>
        <v>313.89999999999998</v>
      </c>
      <c r="M76" s="58">
        <f>M52+M55+M58+M61+M64+M67+M70+M73</f>
        <v>184.20593700000001</v>
      </c>
      <c r="N76" s="66">
        <f>SUM(C76,E76,G76,I76,K76)+M76</f>
        <v>52818.828748600012</v>
      </c>
      <c r="O76" s="50"/>
      <c r="P76" s="59"/>
    </row>
    <row r="77" spans="1:16" ht="25.5" customHeight="1" thickBot="1" x14ac:dyDescent="0.35">
      <c r="A77" s="86" t="s">
        <v>14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8"/>
      <c r="O77" s="50"/>
      <c r="P77" s="77"/>
    </row>
    <row r="78" spans="1:16" ht="99" customHeight="1" thickBot="1" x14ac:dyDescent="0.35">
      <c r="A78" s="57" t="s">
        <v>93</v>
      </c>
      <c r="B78" s="66">
        <f>B79+B80</f>
        <v>34</v>
      </c>
      <c r="C78" s="66">
        <f>C79+C80</f>
        <v>370.86661919999995</v>
      </c>
      <c r="D78" s="66">
        <f t="shared" ref="D78:M78" si="29">D79+D80</f>
        <v>282.53999999999985</v>
      </c>
      <c r="E78" s="66">
        <f>E79+E80-0.1</f>
        <v>3176.3718252799986</v>
      </c>
      <c r="F78" s="66">
        <f t="shared" si="29"/>
        <v>5.0199999999999996</v>
      </c>
      <c r="G78" s="66">
        <f>G79+G80</f>
        <v>57.305015040000001</v>
      </c>
      <c r="H78" s="66">
        <f t="shared" si="29"/>
        <v>347.95499999999998</v>
      </c>
      <c r="I78" s="66">
        <f>I79+I80-0.1</f>
        <v>32.761193719999994</v>
      </c>
      <c r="J78" s="66">
        <f t="shared" si="29"/>
        <v>347.95499999999998</v>
      </c>
      <c r="K78" s="66">
        <f t="shared" si="29"/>
        <v>55.363671239999995</v>
      </c>
      <c r="L78" s="66">
        <f t="shared" si="29"/>
        <v>42.6</v>
      </c>
      <c r="M78" s="66">
        <f t="shared" si="29"/>
        <v>24.313737000000003</v>
      </c>
      <c r="N78" s="66">
        <f>SUM(C78,E78,G78,I78,K78)+M78+0.1</f>
        <v>3717.0820614799982</v>
      </c>
      <c r="O78" s="50"/>
      <c r="P78" s="59"/>
    </row>
    <row r="79" spans="1:16" ht="20.25" customHeight="1" thickBot="1" x14ac:dyDescent="0.35">
      <c r="A79" s="57" t="s">
        <v>23</v>
      </c>
      <c r="B79" s="58">
        <v>18.399999999999999</v>
      </c>
      <c r="C79" s="58">
        <f>B79*ТАРИФЫ!F21</f>
        <v>196.2912</v>
      </c>
      <c r="D79" s="66">
        <v>177.13999999999987</v>
      </c>
      <c r="E79" s="66">
        <f>D79*ТАРИФЫ!F5/1000</f>
        <v>1900.1368492799984</v>
      </c>
      <c r="F79" s="66">
        <v>2.52</v>
      </c>
      <c r="G79" s="66">
        <f>F79*ТАРИФЫ!F5/1000</f>
        <v>27.031415039999995</v>
      </c>
      <c r="H79" s="66">
        <v>184.35499999999999</v>
      </c>
      <c r="I79" s="66">
        <f>H79*ТАРИФЫ!F10/1000</f>
        <v>16.419393719999995</v>
      </c>
      <c r="J79" s="66">
        <f>H79</f>
        <v>184.35499999999999</v>
      </c>
      <c r="K79" s="66">
        <f>J79*ТАРИФЫ!F15/1000</f>
        <v>27.861202439999996</v>
      </c>
      <c r="L79" s="66">
        <v>21.3</v>
      </c>
      <c r="M79" s="66">
        <f>L79*ТАРИФЫ!D26/1000</f>
        <v>11.814258000000001</v>
      </c>
      <c r="N79" s="66">
        <f>SUM(C79,E79,G79,I79,K79)+M79-0.1</f>
        <v>2179.4543184799982</v>
      </c>
      <c r="O79" s="50"/>
      <c r="P79" s="59"/>
    </row>
    <row r="80" spans="1:16" ht="20.25" customHeight="1" thickBot="1" x14ac:dyDescent="0.35">
      <c r="A80" s="57" t="s">
        <v>43</v>
      </c>
      <c r="B80" s="58">
        <v>15.6</v>
      </c>
      <c r="C80" s="58">
        <f>B80*ТАРИФЫ!G21</f>
        <v>174.57541919999997</v>
      </c>
      <c r="D80" s="66">
        <v>105.4</v>
      </c>
      <c r="E80" s="66">
        <f>D80*ТАРИФЫ!G5/1000</f>
        <v>1276.3349760000001</v>
      </c>
      <c r="F80" s="66">
        <v>2.5</v>
      </c>
      <c r="G80" s="66">
        <f>F80*ТАРИФЫ!G5/1000</f>
        <v>30.273600000000002</v>
      </c>
      <c r="H80" s="66">
        <v>163.6</v>
      </c>
      <c r="I80" s="66">
        <f>H80*ТАРИФЫ!G10/1000</f>
        <v>16.441800000000001</v>
      </c>
      <c r="J80" s="66">
        <f>H80</f>
        <v>163.6</v>
      </c>
      <c r="K80" s="66">
        <f>J80*ТАРИФЫ!G15/1000</f>
        <v>27.502468799999999</v>
      </c>
      <c r="L80" s="66">
        <v>21.3</v>
      </c>
      <c r="M80" s="66">
        <f>L80*ТАРИФЫ!E26/1000</f>
        <v>12.499479000000001</v>
      </c>
      <c r="N80" s="66">
        <f t="shared" ref="N80:N86" si="30">SUM(C80,E80,G80,I80,K80)+M80</f>
        <v>1537.6277430000002</v>
      </c>
      <c r="O80" s="50"/>
      <c r="P80" s="59"/>
    </row>
    <row r="81" spans="1:16" ht="72" customHeight="1" thickBot="1" x14ac:dyDescent="0.35">
      <c r="A81" s="57" t="s">
        <v>94</v>
      </c>
      <c r="B81" s="66">
        <f>B82+B83</f>
        <v>26.5</v>
      </c>
      <c r="C81" s="66">
        <f>C82+C83</f>
        <v>289.18414999999999</v>
      </c>
      <c r="D81" s="66">
        <f t="shared" ref="D81:J81" si="31">D82+D83</f>
        <v>138</v>
      </c>
      <c r="E81" s="66">
        <f>E82+E83</f>
        <v>3107.6583019999998</v>
      </c>
      <c r="F81" s="66">
        <f t="shared" si="31"/>
        <v>0</v>
      </c>
      <c r="G81" s="66">
        <f t="shared" si="31"/>
        <v>0</v>
      </c>
      <c r="H81" s="66">
        <f t="shared" si="31"/>
        <v>457.9</v>
      </c>
      <c r="I81" s="66">
        <f>I82+I83</f>
        <v>66.928474800000004</v>
      </c>
      <c r="J81" s="66">
        <f t="shared" si="31"/>
        <v>457.9</v>
      </c>
      <c r="K81" s="66">
        <f>K82+K83</f>
        <v>69.777722399999988</v>
      </c>
      <c r="L81" s="66">
        <f t="shared" ref="L81" si="32">L82+L83</f>
        <v>36.799999999999997</v>
      </c>
      <c r="M81" s="66">
        <f>M82+M83</f>
        <v>21.003416000000001</v>
      </c>
      <c r="N81" s="66">
        <f t="shared" si="30"/>
        <v>3554.5520652</v>
      </c>
      <c r="O81" s="50"/>
      <c r="P81" s="59"/>
    </row>
    <row r="82" spans="1:16" ht="20.100000000000001" customHeight="1" thickBot="1" x14ac:dyDescent="0.35">
      <c r="A82" s="57" t="s">
        <v>23</v>
      </c>
      <c r="B82" s="58">
        <v>14</v>
      </c>
      <c r="C82" s="58">
        <v>149.30000000000001</v>
      </c>
      <c r="D82" s="66">
        <v>86.5</v>
      </c>
      <c r="E82" s="66">
        <v>1641.8</v>
      </c>
      <c r="F82" s="66">
        <v>0</v>
      </c>
      <c r="G82" s="66">
        <f>F82*ТАРИФЫ!F8/1000</f>
        <v>0</v>
      </c>
      <c r="H82" s="66">
        <v>231.4</v>
      </c>
      <c r="I82" s="66">
        <f>H82*ТАРИФЫ!F13/1000</f>
        <v>32.880088799999996</v>
      </c>
      <c r="J82" s="66">
        <f>H82</f>
        <v>231.4</v>
      </c>
      <c r="K82" s="66">
        <f>J82*ТАРИФЫ!F19/1000</f>
        <v>33.3021624</v>
      </c>
      <c r="L82" s="66">
        <v>18.399999999999999</v>
      </c>
      <c r="M82" s="66">
        <f>L82*ТАРИФЫ!D26/1000</f>
        <v>10.205743999999999</v>
      </c>
      <c r="N82" s="66">
        <f t="shared" si="30"/>
        <v>1867.4879952000001</v>
      </c>
      <c r="O82" s="50"/>
      <c r="P82" s="59"/>
    </row>
    <row r="83" spans="1:16" ht="20.100000000000001" customHeight="1" thickBot="1" x14ac:dyDescent="0.35">
      <c r="A83" s="57" t="s">
        <v>43</v>
      </c>
      <c r="B83" s="58">
        <v>12.5</v>
      </c>
      <c r="C83" s="58">
        <f>B83*ТАРИФЫ!G21</f>
        <v>139.88414999999998</v>
      </c>
      <c r="D83" s="66">
        <v>51.5</v>
      </c>
      <c r="E83" s="66">
        <f>D83*ТАРИФЫ!G8/1000</f>
        <v>1465.8583019999999</v>
      </c>
      <c r="F83" s="66">
        <v>0</v>
      </c>
      <c r="G83" s="66">
        <f>F83*ТАРИФЫ!G8/1000</f>
        <v>0</v>
      </c>
      <c r="H83" s="66">
        <v>226.5</v>
      </c>
      <c r="I83" s="66">
        <f>H83*ТАРИФЫ!G13/1000</f>
        <v>34.048386000000001</v>
      </c>
      <c r="J83" s="66">
        <f>H83</f>
        <v>226.5</v>
      </c>
      <c r="K83" s="66">
        <f>J83*ТАРИФЫ!G19/1000</f>
        <v>36.475559999999994</v>
      </c>
      <c r="L83" s="66">
        <v>18.399999999999999</v>
      </c>
      <c r="M83" s="66">
        <f>L83*ТАРИФЫ!E26/1000</f>
        <v>10.797672</v>
      </c>
      <c r="N83" s="66">
        <f t="shared" si="30"/>
        <v>1687.0640699999999</v>
      </c>
      <c r="O83" s="50"/>
      <c r="P83" s="59"/>
    </row>
    <row r="84" spans="1:16" ht="85.5" customHeight="1" thickBot="1" x14ac:dyDescent="0.35">
      <c r="A84" s="57" t="s">
        <v>69</v>
      </c>
      <c r="B84" s="66">
        <f>B85+B86</f>
        <v>13.399999999999999</v>
      </c>
      <c r="C84" s="66">
        <f>C85+C86</f>
        <v>147.36110439999999</v>
      </c>
      <c r="D84" s="66">
        <f t="shared" ref="D84:J84" si="33">D85+D86</f>
        <v>213.26</v>
      </c>
      <c r="E84" s="66">
        <f>E85+E86</f>
        <v>3349.0612223199996</v>
      </c>
      <c r="F84" s="66">
        <f t="shared" si="33"/>
        <v>3.238</v>
      </c>
      <c r="G84" s="66">
        <f t="shared" si="33"/>
        <v>65.79801497599999</v>
      </c>
      <c r="H84" s="66">
        <f t="shared" si="33"/>
        <v>121.82400000000001</v>
      </c>
      <c r="I84" s="66">
        <f>I85+I86</f>
        <v>15.742772335999996</v>
      </c>
      <c r="J84" s="66">
        <f t="shared" si="33"/>
        <v>141.82400000000001</v>
      </c>
      <c r="K84" s="66">
        <f>K85+K86</f>
        <v>21.747929071999998</v>
      </c>
      <c r="L84" s="66">
        <f t="shared" ref="L84" si="34">L85+L86</f>
        <v>9.411999999999999</v>
      </c>
      <c r="M84" s="66">
        <f>M85+M86+0.1</f>
        <v>5.3405134399999996</v>
      </c>
      <c r="N84" s="66">
        <f>SUM(C84,E84,G84,I84,K84)+M84-0.1</f>
        <v>3604.9515565439997</v>
      </c>
      <c r="O84" s="50"/>
      <c r="P84" s="59"/>
    </row>
    <row r="85" spans="1:16" ht="20.100000000000001" customHeight="1" thickBot="1" x14ac:dyDescent="0.35">
      <c r="A85" s="60" t="s">
        <v>23</v>
      </c>
      <c r="B85" s="58">
        <f>B89+B92+B95+B98</f>
        <v>6</v>
      </c>
      <c r="C85" s="58">
        <f>C89+C92+C95+C98</f>
        <v>64.184799999999996</v>
      </c>
      <c r="D85" s="58">
        <f>D89+D92+D95+D98</f>
        <v>134.95999999999998</v>
      </c>
      <c r="E85" s="58">
        <f>E89+E92+E95+E98-0.1</f>
        <v>1937.15273032</v>
      </c>
      <c r="F85" s="58">
        <f t="shared" ref="F85:J85" si="35">F89+F92+F95+F98</f>
        <v>1.6379999999999999</v>
      </c>
      <c r="G85" s="58">
        <f t="shared" si="35"/>
        <v>26.798317376</v>
      </c>
      <c r="H85" s="58">
        <f t="shared" si="35"/>
        <v>42.924000000000007</v>
      </c>
      <c r="I85" s="58">
        <f t="shared" si="35"/>
        <v>4.9413499359999999</v>
      </c>
      <c r="J85" s="58">
        <f t="shared" si="35"/>
        <v>62.924000000000007</v>
      </c>
      <c r="K85" s="58">
        <f>K89+K92+K95+K98</f>
        <v>9.0212890720000001</v>
      </c>
      <c r="L85" s="58">
        <f>L89+L92+L95+L98+0.1</f>
        <v>4.7119999999999997</v>
      </c>
      <c r="M85" s="66">
        <f>M89+M92+M95+M98-0.1</f>
        <v>2.4824124400000001</v>
      </c>
      <c r="N85" s="66">
        <f t="shared" si="30"/>
        <v>2044.5808991439999</v>
      </c>
      <c r="O85" s="50"/>
      <c r="P85" s="59"/>
    </row>
    <row r="86" spans="1:16" ht="20.100000000000001" customHeight="1" thickBot="1" x14ac:dyDescent="0.35">
      <c r="A86" s="60" t="s">
        <v>43</v>
      </c>
      <c r="B86" s="58">
        <f t="shared" ref="B86:D86" si="36">B90+B93+B96+B99</f>
        <v>7.3999999999999995</v>
      </c>
      <c r="C86" s="58">
        <f>C90+C93+C96+C99</f>
        <v>83.176304399999992</v>
      </c>
      <c r="D86" s="58">
        <f t="shared" si="36"/>
        <v>78.300000000000011</v>
      </c>
      <c r="E86" s="58">
        <f>E90+E93+E96+E99</f>
        <v>1411.9084919999996</v>
      </c>
      <c r="F86" s="58">
        <f t="shared" ref="F86" si="37">F90+F93+F96+F99</f>
        <v>1.6</v>
      </c>
      <c r="G86" s="58">
        <f>G90+G93+G96+G99</f>
        <v>38.999697599999998</v>
      </c>
      <c r="H86" s="58">
        <f>H90+H93+H96+H99</f>
        <v>78.900000000000006</v>
      </c>
      <c r="I86" s="58">
        <f>I90+I93+I96+I99</f>
        <v>10.801422399999996</v>
      </c>
      <c r="J86" s="58">
        <f>J90+J93+J96+J99</f>
        <v>78.900000000000006</v>
      </c>
      <c r="K86" s="58">
        <f>K90+K93+K96+K99+0.1</f>
        <v>12.72664</v>
      </c>
      <c r="L86" s="58">
        <f>L90+L93+L96+L99</f>
        <v>4.6999999999999993</v>
      </c>
      <c r="M86" s="66">
        <f>M90+M93+M96+M99</f>
        <v>2.7581009999999999</v>
      </c>
      <c r="N86" s="66">
        <f t="shared" si="30"/>
        <v>1560.3706573999996</v>
      </c>
      <c r="O86" s="50"/>
      <c r="P86" s="59"/>
    </row>
    <row r="87" spans="1:16" ht="18" customHeight="1" thickBot="1" x14ac:dyDescent="0.35">
      <c r="A87" s="86" t="s">
        <v>13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8"/>
      <c r="O87" s="50"/>
      <c r="P87" s="77"/>
    </row>
    <row r="88" spans="1:16" ht="42" customHeight="1" thickBot="1" x14ac:dyDescent="0.35">
      <c r="A88" s="60" t="s">
        <v>70</v>
      </c>
      <c r="B88" s="66">
        <f>B89+B90</f>
        <v>10</v>
      </c>
      <c r="C88" s="66">
        <f>C89+C90</f>
        <v>110.0918064</v>
      </c>
      <c r="D88" s="66">
        <f t="shared" ref="D88:M88" si="38">D89+D90</f>
        <v>138.35999999999999</v>
      </c>
      <c r="E88" s="66">
        <f>E89+E90+0.1</f>
        <v>1553.2495379199995</v>
      </c>
      <c r="F88" s="66">
        <f t="shared" si="38"/>
        <v>0.83799999999999997</v>
      </c>
      <c r="G88" s="66">
        <f t="shared" si="38"/>
        <v>9.5420933760000004</v>
      </c>
      <c r="H88" s="66">
        <f t="shared" si="38"/>
        <v>42.024000000000001</v>
      </c>
      <c r="I88" s="66">
        <f>I89+I90</f>
        <v>3.9795507359999998</v>
      </c>
      <c r="J88" s="66">
        <f t="shared" si="38"/>
        <v>42.024000000000001</v>
      </c>
      <c r="K88" s="66">
        <f>K89+K90</f>
        <v>6.7024890720000005</v>
      </c>
      <c r="L88" s="66">
        <f t="shared" si="38"/>
        <v>4.5999999999999996</v>
      </c>
      <c r="M88" s="66">
        <f t="shared" si="38"/>
        <v>2.6254270000000002</v>
      </c>
      <c r="N88" s="66">
        <f>N89+N90</f>
        <v>1686.0909045039998</v>
      </c>
      <c r="O88" s="50"/>
      <c r="P88" s="59"/>
    </row>
    <row r="89" spans="1:16" ht="20.100000000000001" customHeight="1" thickBot="1" x14ac:dyDescent="0.35">
      <c r="A89" s="60" t="s">
        <v>23</v>
      </c>
      <c r="B89" s="58">
        <v>4.8</v>
      </c>
      <c r="C89" s="58">
        <v>51.9</v>
      </c>
      <c r="D89" s="66">
        <v>88.46</v>
      </c>
      <c r="E89" s="58">
        <f>D89*ТАРИФЫ!F5/1000</f>
        <v>948.88848191999978</v>
      </c>
      <c r="F89" s="66">
        <v>0.43799999999999994</v>
      </c>
      <c r="G89" s="66">
        <f>F89*ТАРИФЫ!F5/1000</f>
        <v>4.6983173759999994</v>
      </c>
      <c r="H89" s="66">
        <v>21.324000000000002</v>
      </c>
      <c r="I89" s="66">
        <f>H89*ТАРИФЫ!F10/1000</f>
        <v>1.8992007360000001</v>
      </c>
      <c r="J89" s="66">
        <f>H89</f>
        <v>21.324000000000002</v>
      </c>
      <c r="K89" s="66">
        <f>J89*ТАРИФЫ!F15/1000</f>
        <v>3.2226534720000002</v>
      </c>
      <c r="L89" s="66">
        <v>2.2999999999999998</v>
      </c>
      <c r="M89" s="66">
        <f>L89*ТАРИФЫ!D26/1000</f>
        <v>1.2757179999999999</v>
      </c>
      <c r="N89" s="66">
        <f>SUM(C89,E89,G89,I89,K89)+M89</f>
        <v>1011.8843715039998</v>
      </c>
      <c r="O89" s="50"/>
      <c r="P89" s="59"/>
    </row>
    <row r="90" spans="1:16" ht="20.100000000000001" customHeight="1" thickBot="1" x14ac:dyDescent="0.35">
      <c r="A90" s="60" t="s">
        <v>43</v>
      </c>
      <c r="B90" s="58">
        <v>5.2</v>
      </c>
      <c r="C90" s="58">
        <f>B90*ТАРИФЫ!G21</f>
        <v>58.191806399999997</v>
      </c>
      <c r="D90" s="66">
        <v>49.9</v>
      </c>
      <c r="E90" s="66">
        <f>D90*ТАРИФЫ!G5/1000</f>
        <v>604.26105599999994</v>
      </c>
      <c r="F90" s="66">
        <v>0.4</v>
      </c>
      <c r="G90" s="66">
        <f>F90*ТАРИФЫ!G5/1000</f>
        <v>4.843776000000001</v>
      </c>
      <c r="H90" s="66">
        <v>20.7</v>
      </c>
      <c r="I90" s="66">
        <f>H90*ТАРИФЫ!G10/1000</f>
        <v>2.0803499999999997</v>
      </c>
      <c r="J90" s="66">
        <f>H90</f>
        <v>20.7</v>
      </c>
      <c r="K90" s="66">
        <f>J90*ТАРИФЫ!G15/1000</f>
        <v>3.4798355999999999</v>
      </c>
      <c r="L90" s="66">
        <v>2.2999999999999998</v>
      </c>
      <c r="M90" s="66">
        <f>L90*ТАРИФЫ!E26/1000</f>
        <v>1.349709</v>
      </c>
      <c r="N90" s="66">
        <f>SUM(C90,E90,G90,I90,K90)+M90</f>
        <v>674.20653299999992</v>
      </c>
      <c r="O90" s="50"/>
      <c r="P90" s="59"/>
    </row>
    <row r="91" spans="1:16" ht="33" customHeight="1" thickBot="1" x14ac:dyDescent="0.35">
      <c r="A91" s="60" t="s">
        <v>95</v>
      </c>
      <c r="B91" s="66">
        <f>B92+B93</f>
        <v>2.0999999999999996</v>
      </c>
      <c r="C91" s="66">
        <f>C92+C93</f>
        <v>23.467024799999997</v>
      </c>
      <c r="D91" s="66">
        <f t="shared" ref="D91:J91" si="39">D92+D93</f>
        <v>49.2</v>
      </c>
      <c r="E91" s="66">
        <f>E92+E93</f>
        <v>1113.702092</v>
      </c>
      <c r="F91" s="66">
        <f t="shared" si="39"/>
        <v>2.4</v>
      </c>
      <c r="G91" s="66">
        <f>G92+G93</f>
        <v>56.255921600000001</v>
      </c>
      <c r="H91" s="66">
        <f t="shared" si="39"/>
        <v>74.900000000000006</v>
      </c>
      <c r="I91" s="66">
        <f>I92+I93</f>
        <v>11.102036399999998</v>
      </c>
      <c r="J91" s="66">
        <f t="shared" si="39"/>
        <v>94.9</v>
      </c>
      <c r="K91" s="66">
        <f>K92+K93</f>
        <v>14.6131476</v>
      </c>
      <c r="L91" s="66">
        <f t="shared" ref="L91" si="40">L92+L93</f>
        <v>1.556</v>
      </c>
      <c r="M91" s="66">
        <f>M92+M93</f>
        <v>0.91310748000000008</v>
      </c>
      <c r="N91" s="66">
        <f>SUM(C91,E91,G91,I91,K91)+M91</f>
        <v>1220.0533298800001</v>
      </c>
      <c r="O91" s="50"/>
      <c r="P91" s="59"/>
    </row>
    <row r="92" spans="1:16" ht="20.100000000000001" customHeight="1" thickBot="1" x14ac:dyDescent="0.35">
      <c r="A92" s="60" t="s">
        <v>23</v>
      </c>
      <c r="B92" s="58">
        <v>0.7</v>
      </c>
      <c r="C92" s="58">
        <v>7.8</v>
      </c>
      <c r="D92" s="66">
        <v>30.2</v>
      </c>
      <c r="E92" s="66">
        <v>572.9</v>
      </c>
      <c r="F92" s="66">
        <v>1.2</v>
      </c>
      <c r="G92" s="66">
        <v>22.1</v>
      </c>
      <c r="H92" s="66">
        <v>19.100000000000001</v>
      </c>
      <c r="I92" s="66">
        <f>H92*ТАРИФЫ!F13/1000</f>
        <v>2.7139571999999998</v>
      </c>
      <c r="J92" s="66">
        <v>39.1</v>
      </c>
      <c r="K92" s="66">
        <f>J92*ТАРИФЫ!F19/1000</f>
        <v>5.6271155999999998</v>
      </c>
      <c r="L92" s="66">
        <v>0.75600000000000001</v>
      </c>
      <c r="M92" s="66">
        <f>L92*ТАРИФЫ!E27/1000</f>
        <v>0.44364348000000003</v>
      </c>
      <c r="N92" s="66">
        <f>SUM(C92,E92,G92,I92,K92)+M92-0.1</f>
        <v>611.48471627999993</v>
      </c>
      <c r="O92" s="50"/>
      <c r="P92" s="59"/>
    </row>
    <row r="93" spans="1:16" ht="20.100000000000001" customHeight="1" thickBot="1" x14ac:dyDescent="0.35">
      <c r="A93" s="60" t="s">
        <v>43</v>
      </c>
      <c r="B93" s="58">
        <v>1.4</v>
      </c>
      <c r="C93" s="58">
        <f>B93*ТАРИФЫ!G21</f>
        <v>15.667024799999997</v>
      </c>
      <c r="D93" s="66">
        <v>19</v>
      </c>
      <c r="E93" s="66">
        <f>D93*ТАРИФЫ!G8/1000</f>
        <v>540.8020919999999</v>
      </c>
      <c r="F93" s="66">
        <v>1.2</v>
      </c>
      <c r="G93" s="66">
        <f>F93*ТАРИФЫ!G8/1000</f>
        <v>34.155921599999999</v>
      </c>
      <c r="H93" s="66">
        <v>55.8</v>
      </c>
      <c r="I93" s="66">
        <f>H93*ТАРИФЫ!G13/1000</f>
        <v>8.3880791999999982</v>
      </c>
      <c r="J93" s="66">
        <f>H93</f>
        <v>55.8</v>
      </c>
      <c r="K93" s="66">
        <f>J93*ТАРИФЫ!G19/1000</f>
        <v>8.9860319999999998</v>
      </c>
      <c r="L93" s="66">
        <v>0.8</v>
      </c>
      <c r="M93" s="66">
        <f>L93*ТАРИФЫ!E27/1000</f>
        <v>0.46946400000000005</v>
      </c>
      <c r="N93" s="66">
        <f>SUM(C93,E93,G93,I93,K93)+M93+0.1</f>
        <v>608.56861360000005</v>
      </c>
      <c r="O93" s="50"/>
      <c r="P93" s="59"/>
    </row>
    <row r="94" spans="1:16" ht="33.75" customHeight="1" thickBot="1" x14ac:dyDescent="0.35">
      <c r="A94" s="60" t="s">
        <v>71</v>
      </c>
      <c r="B94" s="66">
        <f>B95+B96</f>
        <v>1.1000000000000001</v>
      </c>
      <c r="C94" s="66">
        <f>C95+C96</f>
        <v>12.283200000000001</v>
      </c>
      <c r="D94" s="66">
        <f t="shared" ref="D94:J94" si="41">D95+D96</f>
        <v>15.399999999999999</v>
      </c>
      <c r="E94" s="66">
        <f>E95+E96</f>
        <v>415.02702479999999</v>
      </c>
      <c r="F94" s="66">
        <f t="shared" si="41"/>
        <v>0</v>
      </c>
      <c r="G94" s="66">
        <f t="shared" si="41"/>
        <v>0</v>
      </c>
      <c r="H94" s="66">
        <f t="shared" si="41"/>
        <v>3.9</v>
      </c>
      <c r="I94" s="66">
        <f>I95+I96-0.1</f>
        <v>0.36118519999999998</v>
      </c>
      <c r="J94" s="66">
        <f t="shared" si="41"/>
        <v>3.9</v>
      </c>
      <c r="K94" s="66">
        <f>K95+K96</f>
        <v>0.15127439999999998</v>
      </c>
      <c r="L94" s="66">
        <f>L95+L96</f>
        <v>1.556</v>
      </c>
      <c r="M94" s="66">
        <f>M95+M96</f>
        <v>0.88878696000000001</v>
      </c>
      <c r="N94" s="66">
        <f>SUM(C94,E94,G94,I94,K94)+M94+0.1</f>
        <v>428.81147136000004</v>
      </c>
      <c r="O94" s="50"/>
      <c r="P94" s="59"/>
    </row>
    <row r="95" spans="1:16" ht="20.100000000000001" customHeight="1" thickBot="1" x14ac:dyDescent="0.35">
      <c r="A95" s="60" t="s">
        <v>23</v>
      </c>
      <c r="B95" s="58">
        <v>0.4</v>
      </c>
      <c r="C95" s="58">
        <f>B95*ТАРИФЫ!F22</f>
        <v>4.0848000000000004</v>
      </c>
      <c r="D95" s="66">
        <v>9.6999999999999993</v>
      </c>
      <c r="E95" s="66">
        <f>D95*ТАРИФЫ!F6/1000</f>
        <v>251.728386</v>
      </c>
      <c r="F95" s="66">
        <v>0</v>
      </c>
      <c r="G95" s="58">
        <v>0</v>
      </c>
      <c r="H95" s="66">
        <v>2</v>
      </c>
      <c r="I95" s="66">
        <f>H95*ТАРИФЫ!F11/1000</f>
        <v>0.22819199999999998</v>
      </c>
      <c r="J95" s="66">
        <f>H95</f>
        <v>2</v>
      </c>
      <c r="K95" s="66">
        <f>J95*ТАРИФЫ!F16/1000</f>
        <v>7.152E-2</v>
      </c>
      <c r="L95" s="66">
        <v>0.75600000000000001</v>
      </c>
      <c r="M95" s="66">
        <f>L95*ТАРИФЫ!D27/1000</f>
        <v>0.41932295999999997</v>
      </c>
      <c r="N95" s="66">
        <f>SUM(C95,E95,G95,I95,K95)+M95</f>
        <v>256.53222096000002</v>
      </c>
      <c r="O95" s="50"/>
      <c r="P95" s="59"/>
    </row>
    <row r="96" spans="1:16" ht="20.100000000000001" customHeight="1" thickBot="1" x14ac:dyDescent="0.35">
      <c r="A96" s="60" t="s">
        <v>43</v>
      </c>
      <c r="B96" s="58">
        <v>0.7</v>
      </c>
      <c r="C96" s="58">
        <f>B96*ТАРИФЫ!G22</f>
        <v>8.1983999999999995</v>
      </c>
      <c r="D96" s="66">
        <v>5.7</v>
      </c>
      <c r="E96" s="66">
        <f>D96*ТАРИФЫ!G6/1000</f>
        <v>163.29863879999999</v>
      </c>
      <c r="F96" s="66">
        <v>0</v>
      </c>
      <c r="G96" s="58">
        <v>0</v>
      </c>
      <c r="H96" s="66">
        <v>1.9</v>
      </c>
      <c r="I96" s="66">
        <f>H96*ТАРИФЫ!G11/1000</f>
        <v>0.23299319999999998</v>
      </c>
      <c r="J96" s="66">
        <f>H96</f>
        <v>1.9</v>
      </c>
      <c r="K96" s="66">
        <f>J96*ТАРИФЫ!G16/1000</f>
        <v>7.9754399999999975E-2</v>
      </c>
      <c r="L96" s="66">
        <v>0.8</v>
      </c>
      <c r="M96" s="66">
        <f>L96*ТАРИФЫ!E27/1000</f>
        <v>0.46946400000000005</v>
      </c>
      <c r="N96" s="66">
        <f>SUM(C96,E96,G96,I96,K96)+M96</f>
        <v>172.2792504</v>
      </c>
      <c r="O96" s="50"/>
      <c r="P96" s="59"/>
    </row>
    <row r="97" spans="1:16" ht="30" customHeight="1" thickBot="1" x14ac:dyDescent="0.35">
      <c r="A97" s="60" t="s">
        <v>72</v>
      </c>
      <c r="B97" s="66">
        <f>B98+B99</f>
        <v>0.2</v>
      </c>
      <c r="C97" s="66">
        <f t="shared" ref="C97:J97" si="42">C98+C99</f>
        <v>1.5190731999999998</v>
      </c>
      <c r="D97" s="66">
        <f t="shared" si="42"/>
        <v>10.3</v>
      </c>
      <c r="E97" s="66">
        <f>E98+E99-0.1</f>
        <v>267.18256759999997</v>
      </c>
      <c r="F97" s="66">
        <f t="shared" si="42"/>
        <v>0</v>
      </c>
      <c r="G97" s="66">
        <f t="shared" si="42"/>
        <v>0</v>
      </c>
      <c r="H97" s="66">
        <f t="shared" si="42"/>
        <v>1</v>
      </c>
      <c r="I97" s="66">
        <f t="shared" si="42"/>
        <v>0.2</v>
      </c>
      <c r="J97" s="66">
        <f t="shared" si="42"/>
        <v>1</v>
      </c>
      <c r="K97" s="66">
        <f>K98+K99</f>
        <v>0.18101800000000001</v>
      </c>
      <c r="L97" s="66">
        <f t="shared" ref="L97:M97" si="43">L98+L99</f>
        <v>1.6</v>
      </c>
      <c r="M97" s="66">
        <f t="shared" si="43"/>
        <v>0.913192</v>
      </c>
      <c r="N97" s="66">
        <f>SUM(C97,E97,G97,I97,K97)+M97</f>
        <v>269.99585079999991</v>
      </c>
      <c r="O97" s="50"/>
      <c r="P97" s="59"/>
    </row>
    <row r="98" spans="1:16" ht="20.100000000000001" customHeight="1" thickBot="1" x14ac:dyDescent="0.35">
      <c r="A98" s="60" t="s">
        <v>23</v>
      </c>
      <c r="B98" s="58">
        <v>0.1</v>
      </c>
      <c r="C98" s="58">
        <v>0.4</v>
      </c>
      <c r="D98" s="66">
        <v>6.6</v>
      </c>
      <c r="E98" s="58">
        <f>D98*ТАРИФЫ!F7/1000</f>
        <v>163.73586239999997</v>
      </c>
      <c r="F98" s="66">
        <v>0</v>
      </c>
      <c r="G98" s="58">
        <v>0</v>
      </c>
      <c r="H98" s="66">
        <v>0.5</v>
      </c>
      <c r="I98" s="58">
        <v>0.1</v>
      </c>
      <c r="J98" s="66">
        <f>H98</f>
        <v>0.5</v>
      </c>
      <c r="K98" s="58">
        <v>0.1</v>
      </c>
      <c r="L98" s="66">
        <v>0.8</v>
      </c>
      <c r="M98" s="66">
        <f>L98*ТАРИФЫ!D27/1000</f>
        <v>0.44372800000000001</v>
      </c>
      <c r="N98" s="66">
        <f>SUM(C98,E98,G98,I98,K98)+M98-0.1</f>
        <v>164.67959039999997</v>
      </c>
      <c r="O98" s="50"/>
      <c r="P98" s="59"/>
    </row>
    <row r="99" spans="1:16" ht="20.100000000000001" customHeight="1" thickBot="1" x14ac:dyDescent="0.35">
      <c r="A99" s="60" t="s">
        <v>43</v>
      </c>
      <c r="B99" s="58">
        <v>0.1</v>
      </c>
      <c r="C99" s="58">
        <f>B99*ТАРИФЫ!G21</f>
        <v>1.1190731999999999</v>
      </c>
      <c r="D99" s="66">
        <v>3.7</v>
      </c>
      <c r="E99" s="58">
        <f>D99*ТАРИФЫ!G7/1000</f>
        <v>103.54670520000001</v>
      </c>
      <c r="F99" s="66">
        <v>0</v>
      </c>
      <c r="G99" s="58">
        <v>0</v>
      </c>
      <c r="H99" s="66">
        <v>0.5</v>
      </c>
      <c r="I99" s="58">
        <v>0.1</v>
      </c>
      <c r="J99" s="66">
        <f>H99</f>
        <v>0.5</v>
      </c>
      <c r="K99" s="58">
        <f>J99*ТАРИФЫ!G17/1000</f>
        <v>8.1018000000000007E-2</v>
      </c>
      <c r="L99" s="66">
        <v>0.8</v>
      </c>
      <c r="M99" s="66">
        <f>L99*ТАРИФЫ!E27/1000</f>
        <v>0.46946400000000005</v>
      </c>
      <c r="N99" s="66">
        <f>SUM(C99,E99,G99,I99,K99)+M99</f>
        <v>105.3162604</v>
      </c>
      <c r="O99" s="50"/>
      <c r="P99" s="59"/>
    </row>
    <row r="100" spans="1:16" ht="30.75" customHeight="1" thickBot="1" x14ac:dyDescent="0.35">
      <c r="A100" s="60" t="s">
        <v>11</v>
      </c>
      <c r="B100" s="66">
        <f>B101+B102</f>
        <v>73.900000000000006</v>
      </c>
      <c r="C100" s="66">
        <f>C101+C102</f>
        <v>807.51187359999994</v>
      </c>
      <c r="D100" s="66">
        <f t="shared" ref="D100:J100" si="44">D101+D102</f>
        <v>633.79999999999984</v>
      </c>
      <c r="E100" s="66">
        <f>E101+E102</f>
        <v>9633.1913495999979</v>
      </c>
      <c r="F100" s="66">
        <f t="shared" si="44"/>
        <v>8.2579999999999991</v>
      </c>
      <c r="G100" s="66">
        <f>G101+G102</f>
        <v>123.10303001600001</v>
      </c>
      <c r="H100" s="66">
        <f t="shared" si="44"/>
        <v>927.67899999999997</v>
      </c>
      <c r="I100" s="66">
        <f>I101+I102</f>
        <v>115.432440856</v>
      </c>
      <c r="J100" s="66">
        <f t="shared" si="44"/>
        <v>947.67899999999997</v>
      </c>
      <c r="K100" s="66">
        <f>K101+K102</f>
        <v>146.88932271199999</v>
      </c>
      <c r="L100" s="66">
        <f>L101+L102</f>
        <v>88.812000000000012</v>
      </c>
      <c r="M100" s="66">
        <f>M101+M102</f>
        <v>50.557666439999998</v>
      </c>
      <c r="N100" s="66">
        <f>SUM(C100,E100,G100,I100,K100)+M100</f>
        <v>10876.685683223999</v>
      </c>
      <c r="O100" s="50"/>
      <c r="P100" s="59"/>
    </row>
    <row r="101" spans="1:16" ht="20.25" customHeight="1" thickBot="1" x14ac:dyDescent="0.35">
      <c r="A101" s="60" t="s">
        <v>23</v>
      </c>
      <c r="B101" s="58">
        <f>B79+B82+B85</f>
        <v>38.4</v>
      </c>
      <c r="C101" s="58">
        <f>C79+C82+C85</f>
        <v>409.77600000000001</v>
      </c>
      <c r="D101" s="58">
        <f>D79+D82+D85</f>
        <v>398.59999999999985</v>
      </c>
      <c r="E101" s="58">
        <f>E79+E82+E85</f>
        <v>5479.0895795999986</v>
      </c>
      <c r="F101" s="58">
        <f t="shared" ref="F101" si="45">F79+F82+F85</f>
        <v>4.1579999999999995</v>
      </c>
      <c r="G101" s="58">
        <f>G79+G82+G85</f>
        <v>53.829732415999999</v>
      </c>
      <c r="H101" s="58">
        <f>H79+H82+H85</f>
        <v>458.67899999999997</v>
      </c>
      <c r="I101" s="58">
        <f>I79+I82+I85</f>
        <v>54.240832455999993</v>
      </c>
      <c r="J101" s="58">
        <f>J79+J82+J85</f>
        <v>478.67899999999997</v>
      </c>
      <c r="K101" s="58">
        <f>K79+K82+K85</f>
        <v>70.184653912000002</v>
      </c>
      <c r="L101" s="58">
        <f t="shared" ref="L101:L102" si="46">L79+L82+L85</f>
        <v>44.412000000000006</v>
      </c>
      <c r="M101" s="58">
        <f>M79+M82+M85</f>
        <v>24.502414439999999</v>
      </c>
      <c r="N101" s="66">
        <f>SUM(C101,E101,G101,I101,K101)+M101</f>
        <v>6091.623212823999</v>
      </c>
      <c r="O101" s="50"/>
      <c r="P101" s="59"/>
    </row>
    <row r="102" spans="1:16" ht="20.25" customHeight="1" thickBot="1" x14ac:dyDescent="0.35">
      <c r="A102" s="60" t="s">
        <v>43</v>
      </c>
      <c r="B102" s="58">
        <f>B80+B83+B86</f>
        <v>35.5</v>
      </c>
      <c r="C102" s="58">
        <f>C80+C83+C86+0.1</f>
        <v>397.73587359999993</v>
      </c>
      <c r="D102" s="58">
        <f>D80+D83+D86</f>
        <v>235.20000000000002</v>
      </c>
      <c r="E102" s="58">
        <f>E80+E83+E86</f>
        <v>4154.1017699999993</v>
      </c>
      <c r="F102" s="58">
        <f t="shared" ref="F102:J102" si="47">F80+F83+F86</f>
        <v>4.0999999999999996</v>
      </c>
      <c r="G102" s="58">
        <f>G80+G83+G86</f>
        <v>69.273297600000006</v>
      </c>
      <c r="H102" s="58">
        <f>H80+H83+H86</f>
        <v>469</v>
      </c>
      <c r="I102" s="58">
        <f>I80+I83+I86-0.1</f>
        <v>61.1916084</v>
      </c>
      <c r="J102" s="58">
        <f t="shared" si="47"/>
        <v>469</v>
      </c>
      <c r="K102" s="58">
        <f>K80+K83+K86</f>
        <v>76.704668799999993</v>
      </c>
      <c r="L102" s="58">
        <f t="shared" si="46"/>
        <v>44.400000000000006</v>
      </c>
      <c r="M102" s="58">
        <f>M80+M83+M86</f>
        <v>26.055251999999999</v>
      </c>
      <c r="N102" s="66">
        <f>SUM(C102,E102,G102,I102,K102)+M102</f>
        <v>4785.0624703999993</v>
      </c>
      <c r="O102" s="50"/>
      <c r="P102" s="59"/>
    </row>
    <row r="103" spans="1:16" ht="27.75" customHeight="1" thickBot="1" x14ac:dyDescent="0.35">
      <c r="A103" s="86" t="s">
        <v>42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8"/>
      <c r="O103" s="50"/>
      <c r="P103" s="77"/>
    </row>
    <row r="104" spans="1:16" ht="36" customHeight="1" thickBot="1" x14ac:dyDescent="0.35">
      <c r="A104" s="60" t="s">
        <v>11</v>
      </c>
      <c r="B104" s="66">
        <f>B105+B106</f>
        <v>591.4</v>
      </c>
      <c r="C104" s="66">
        <f>C105+C106</f>
        <v>5244.9673371999997</v>
      </c>
      <c r="D104" s="66">
        <f t="shared" ref="D104:L104" si="48">D105+D106</f>
        <v>975.2</v>
      </c>
      <c r="E104" s="66">
        <f>E105+E106</f>
        <v>11646.866744800001</v>
      </c>
      <c r="F104" s="66">
        <f t="shared" si="48"/>
        <v>58</v>
      </c>
      <c r="G104" s="66">
        <f>G105+G106-0.1</f>
        <v>669.06300799999997</v>
      </c>
      <c r="H104" s="66">
        <f t="shared" si="48"/>
        <v>3730.5</v>
      </c>
      <c r="I104" s="66">
        <f>I105+I106</f>
        <v>1014.085862</v>
      </c>
      <c r="J104" s="66">
        <f t="shared" si="48"/>
        <v>3730.5</v>
      </c>
      <c r="K104" s="66">
        <f>K105+K106</f>
        <v>595.3806204</v>
      </c>
      <c r="L104" s="66">
        <f t="shared" si="48"/>
        <v>250</v>
      </c>
      <c r="M104" s="66">
        <f>M105+M106</f>
        <v>117.861885981</v>
      </c>
      <c r="N104" s="66">
        <f>SUM(C104,E104,G104,I104,K104)+M104+0.2</f>
        <v>19288.425458381003</v>
      </c>
      <c r="O104" s="50"/>
      <c r="P104" s="59"/>
    </row>
    <row r="105" spans="1:16" ht="22.5" customHeight="1" thickBot="1" x14ac:dyDescent="0.35">
      <c r="A105" s="60" t="s">
        <v>23</v>
      </c>
      <c r="B105" s="58">
        <f>B109+B122+B125</f>
        <v>278</v>
      </c>
      <c r="C105" s="58">
        <f>C109+C122+C125</f>
        <v>2701.9935999999998</v>
      </c>
      <c r="D105" s="58">
        <f t="shared" ref="D105:L105" si="49">D109+D122+D125</f>
        <v>584.90000000000009</v>
      </c>
      <c r="E105" s="58">
        <f>E109+E122+E125+0.1</f>
        <v>6745.9145968000003</v>
      </c>
      <c r="F105" s="58">
        <f t="shared" si="49"/>
        <v>24</v>
      </c>
      <c r="G105" s="58">
        <f>G109+G122+G125</f>
        <v>257.44204799999994</v>
      </c>
      <c r="H105" s="58">
        <f t="shared" si="49"/>
        <v>1715.8000000000002</v>
      </c>
      <c r="I105" s="58">
        <f>I109+I122+I125</f>
        <v>469.12433120000003</v>
      </c>
      <c r="J105" s="58">
        <f t="shared" si="49"/>
        <v>1715.8000000000002</v>
      </c>
      <c r="K105" s="58">
        <f>K109+K122+K125</f>
        <v>258.2655512</v>
      </c>
      <c r="L105" s="58">
        <f t="shared" si="49"/>
        <v>125</v>
      </c>
      <c r="M105" s="58">
        <f>M109+M122+M125-0.1</f>
        <v>57.170983</v>
      </c>
      <c r="N105" s="66">
        <f>SUM(C105,E105,G105,I105,K105)+M105</f>
        <v>10489.911110200001</v>
      </c>
      <c r="O105" s="50"/>
      <c r="P105" s="59"/>
    </row>
    <row r="106" spans="1:16" ht="21" customHeight="1" thickBot="1" x14ac:dyDescent="0.35">
      <c r="A106" s="60" t="s">
        <v>43</v>
      </c>
      <c r="B106" s="58">
        <f>B110+B123+B126</f>
        <v>313.39999999999998</v>
      </c>
      <c r="C106" s="58">
        <f>C110+C123+C126</f>
        <v>2542.9737372</v>
      </c>
      <c r="D106" s="58">
        <f t="shared" ref="D106:L106" si="50">D110+D123+D126</f>
        <v>390.3</v>
      </c>
      <c r="E106" s="58">
        <f>E110+E123+E126</f>
        <v>4900.9521480000003</v>
      </c>
      <c r="F106" s="58">
        <f t="shared" si="50"/>
        <v>34</v>
      </c>
      <c r="G106" s="58">
        <f>G110+G123+G126</f>
        <v>411.72096000000005</v>
      </c>
      <c r="H106" s="58">
        <f t="shared" si="50"/>
        <v>2014.7</v>
      </c>
      <c r="I106" s="58">
        <f>I110+I123+I126-0.1</f>
        <v>544.96153079999999</v>
      </c>
      <c r="J106" s="58">
        <f t="shared" si="50"/>
        <v>2014.7</v>
      </c>
      <c r="K106" s="58">
        <f>K110+K123+K126</f>
        <v>337.11506919999999</v>
      </c>
      <c r="L106" s="58">
        <f t="shared" si="50"/>
        <v>125</v>
      </c>
      <c r="M106" s="58">
        <f>M110+M123+M126</f>
        <v>60.690902981000008</v>
      </c>
      <c r="N106" s="66">
        <f>SUM(C106,E106,G106,I106,K106)+M106+0.1</f>
        <v>8798.5143481809991</v>
      </c>
      <c r="O106" s="50"/>
      <c r="P106" s="59"/>
    </row>
    <row r="107" spans="1:16" ht="20.25" customHeight="1" thickBot="1" x14ac:dyDescent="0.35">
      <c r="A107" s="89" t="s">
        <v>13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1"/>
      <c r="O107" s="50"/>
      <c r="P107" s="77"/>
    </row>
    <row r="108" spans="1:16" ht="85.5" customHeight="1" thickBot="1" x14ac:dyDescent="0.35">
      <c r="A108" s="60" t="s">
        <v>78</v>
      </c>
      <c r="B108" s="66">
        <f>B109+B110</f>
        <v>47.3</v>
      </c>
      <c r="C108" s="66">
        <f>C109+C110</f>
        <v>515.98970399999996</v>
      </c>
      <c r="D108" s="66">
        <f t="shared" ref="D108:M108" si="51">D109+D110</f>
        <v>270</v>
      </c>
      <c r="E108" s="66">
        <f>E109+E110</f>
        <v>3709.0737432000001</v>
      </c>
      <c r="F108" s="66">
        <f t="shared" si="51"/>
        <v>0</v>
      </c>
      <c r="G108" s="66">
        <f>G109+G110</f>
        <v>0</v>
      </c>
      <c r="H108" s="66">
        <f t="shared" si="51"/>
        <v>425.80000000000007</v>
      </c>
      <c r="I108" s="66">
        <f t="shared" si="51"/>
        <v>698.68802520000008</v>
      </c>
      <c r="J108" s="66">
        <f t="shared" si="51"/>
        <v>425.80000000000007</v>
      </c>
      <c r="K108" s="66">
        <f>K109+K110</f>
        <v>64.517938799999996</v>
      </c>
      <c r="L108" s="66">
        <f t="shared" si="51"/>
        <v>101.2</v>
      </c>
      <c r="M108" s="66">
        <f t="shared" si="51"/>
        <v>33.035029981000008</v>
      </c>
      <c r="N108" s="66">
        <f>SUM(C108,E108,G108,I108,K108)+M108</f>
        <v>5021.3044411809997</v>
      </c>
      <c r="O108" s="50"/>
      <c r="P108" s="59"/>
    </row>
    <row r="109" spans="1:16" ht="20.100000000000001" customHeight="1" thickBot="1" x14ac:dyDescent="0.35">
      <c r="A109" s="60" t="s">
        <v>23</v>
      </c>
      <c r="B109" s="58">
        <f>B116+B119+B113</f>
        <v>25.3</v>
      </c>
      <c r="C109" s="58">
        <f>C116+C119+C113</f>
        <v>269.6936</v>
      </c>
      <c r="D109" s="58">
        <f>D116+D119+D113</f>
        <v>149.6</v>
      </c>
      <c r="E109" s="58">
        <f>E116+E119+E113</f>
        <v>2076.4594511999999</v>
      </c>
      <c r="F109" s="58">
        <f t="shared" ref="F109:N109" si="52">F116+F119+F113</f>
        <v>0</v>
      </c>
      <c r="G109" s="58">
        <f t="shared" si="52"/>
        <v>0</v>
      </c>
      <c r="H109" s="58">
        <f>H116+H119+H113</f>
        <v>262.10000000000002</v>
      </c>
      <c r="I109" s="58">
        <f>I116+I119+I113-0.1</f>
        <v>339.65199440000004</v>
      </c>
      <c r="J109" s="58">
        <f>J116+J119+J113</f>
        <v>262.10000000000002</v>
      </c>
      <c r="K109" s="58">
        <f>K116+K119+K113-0.1</f>
        <v>38.5707776</v>
      </c>
      <c r="L109" s="58">
        <f>L116+L119+L113</f>
        <v>50.6</v>
      </c>
      <c r="M109" s="58">
        <f>M116+M119+M113</f>
        <v>16.004279</v>
      </c>
      <c r="N109" s="58">
        <f t="shared" si="52"/>
        <v>2740.4801021999997</v>
      </c>
      <c r="O109" s="50"/>
      <c r="P109" s="59"/>
    </row>
    <row r="110" spans="1:16" ht="20.100000000000001" customHeight="1" thickBot="1" x14ac:dyDescent="0.35">
      <c r="A110" s="60" t="s">
        <v>43</v>
      </c>
      <c r="B110" s="58">
        <f>B117+B120+B114</f>
        <v>22</v>
      </c>
      <c r="C110" s="58">
        <f>C117+C120+C114+0.1</f>
        <v>246.29610399999996</v>
      </c>
      <c r="D110" s="58">
        <f>D117+D120+D114</f>
        <v>120.4</v>
      </c>
      <c r="E110" s="58">
        <f>E117+E120+E114</f>
        <v>1632.6142920000002</v>
      </c>
      <c r="F110" s="58">
        <f t="shared" ref="F110:L110" si="53">F117+F120+F114</f>
        <v>0</v>
      </c>
      <c r="G110" s="58">
        <f t="shared" si="53"/>
        <v>0</v>
      </c>
      <c r="H110" s="58">
        <f>H117+H120+H114</f>
        <v>163.70000000000002</v>
      </c>
      <c r="I110" s="58">
        <f>I117+I120+I114</f>
        <v>359.03603080000005</v>
      </c>
      <c r="J110" s="58">
        <f>J117+J120+J114</f>
        <v>163.70000000000002</v>
      </c>
      <c r="K110" s="58">
        <f>K117+K120+K114</f>
        <v>25.9471612</v>
      </c>
      <c r="L110" s="58">
        <f t="shared" si="53"/>
        <v>50.6</v>
      </c>
      <c r="M110" s="58">
        <f>M117+M120+M114+0.1</f>
        <v>17.030750981000004</v>
      </c>
      <c r="N110" s="58">
        <f>N117+N120+N114</f>
        <v>2280.8243389810004</v>
      </c>
      <c r="O110" s="50"/>
      <c r="P110" s="59"/>
    </row>
    <row r="111" spans="1:16" ht="18" customHeight="1" thickBot="1" x14ac:dyDescent="0.35">
      <c r="A111" s="89" t="s">
        <v>13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1"/>
      <c r="O111" s="50"/>
      <c r="P111" s="77"/>
    </row>
    <row r="112" spans="1:16" ht="90.75" customHeight="1" thickBot="1" x14ac:dyDescent="0.35">
      <c r="A112" s="60" t="s">
        <v>98</v>
      </c>
      <c r="B112" s="66">
        <f>B113+B114</f>
        <v>6.3</v>
      </c>
      <c r="C112" s="66">
        <f>C113+C114</f>
        <v>68.776595999999998</v>
      </c>
      <c r="D112" s="66">
        <f t="shared" ref="D112" si="54">D113+D114</f>
        <v>100.5</v>
      </c>
      <c r="E112" s="66">
        <f>E113+E114</f>
        <v>1153.6716096</v>
      </c>
      <c r="F112" s="66">
        <f t="shared" ref="F112:H112" si="55">F113+F114</f>
        <v>0</v>
      </c>
      <c r="G112" s="66">
        <f t="shared" si="55"/>
        <v>0</v>
      </c>
      <c r="H112" s="66">
        <f t="shared" si="55"/>
        <v>25.1</v>
      </c>
      <c r="I112" s="66">
        <f>I113+I114-0.1</f>
        <v>661.67117000000007</v>
      </c>
      <c r="J112" s="66">
        <f t="shared" ref="J112:L112" si="56">J113+J114</f>
        <v>25.1</v>
      </c>
      <c r="K112" s="66">
        <f>K113+K114-0.1</f>
        <v>2.2761692</v>
      </c>
      <c r="L112" s="66">
        <f t="shared" si="56"/>
        <v>44.2</v>
      </c>
      <c r="M112" s="66">
        <f>M113+M114</f>
        <v>0.40256498100000004</v>
      </c>
      <c r="N112" s="66">
        <f>N113+N114</f>
        <v>1886.8981097810001</v>
      </c>
      <c r="O112" s="50"/>
      <c r="P112" s="59"/>
    </row>
    <row r="113" spans="1:16" ht="18" customHeight="1" thickBot="1" x14ac:dyDescent="0.35">
      <c r="A113" s="60" t="s">
        <v>23</v>
      </c>
      <c r="B113" s="58">
        <v>3.3</v>
      </c>
      <c r="C113" s="58">
        <f>B113*ТАРИФЫ!F21</f>
        <v>35.2044</v>
      </c>
      <c r="D113" s="66">
        <v>45.8</v>
      </c>
      <c r="E113" s="58">
        <f>D113*ТАРИФЫ!F5/1000</f>
        <v>491.28524159999989</v>
      </c>
      <c r="F113" s="66">
        <v>0</v>
      </c>
      <c r="G113" s="66">
        <f>F113*ТАРИФЫ!F2/1000</f>
        <v>0</v>
      </c>
      <c r="H113" s="66">
        <v>12.8</v>
      </c>
      <c r="I113" s="66">
        <f>H113*ТАРИФЫ!F7/1000</f>
        <v>317.54833920000004</v>
      </c>
      <c r="J113" s="66">
        <f>H113</f>
        <v>12.8</v>
      </c>
      <c r="K113" s="66">
        <f>J113*ТАРИФЫ!F12/1000</f>
        <v>1.1400192</v>
      </c>
      <c r="L113" s="66">
        <v>22.1</v>
      </c>
      <c r="M113" s="66">
        <f>L113*ТАРИФЫ!D23/1000</f>
        <v>0.19646900000000003</v>
      </c>
      <c r="N113" s="66">
        <f>SUM(C113,E113,G113,I113,K113)+M113-0.1</f>
        <v>845.27446899999995</v>
      </c>
      <c r="O113" s="50"/>
      <c r="P113" s="59"/>
    </row>
    <row r="114" spans="1:16" ht="24" customHeight="1" thickBot="1" x14ac:dyDescent="0.35">
      <c r="A114" s="60" t="s">
        <v>43</v>
      </c>
      <c r="B114" s="58">
        <v>3</v>
      </c>
      <c r="C114" s="58">
        <f>B114*ТАРИФЫ!G21</f>
        <v>33.572195999999998</v>
      </c>
      <c r="D114" s="66">
        <v>54.7</v>
      </c>
      <c r="E114" s="66">
        <f>D114*ТАРИФЫ!G5/1000</f>
        <v>662.38636800000006</v>
      </c>
      <c r="F114" s="66">
        <v>0</v>
      </c>
      <c r="G114" s="66">
        <f>F114*ТАРИФЫ!G2/1000</f>
        <v>0</v>
      </c>
      <c r="H114" s="66">
        <v>12.3</v>
      </c>
      <c r="I114" s="66">
        <f>H114*ТАРИФЫ!G7/1000</f>
        <v>344.22283080000005</v>
      </c>
      <c r="J114" s="66">
        <f>H114</f>
        <v>12.3</v>
      </c>
      <c r="K114" s="66">
        <f>J114*ТАРИФЫ!G12/1000</f>
        <v>1.2361500000000001</v>
      </c>
      <c r="L114" s="66">
        <v>22.1</v>
      </c>
      <c r="M114" s="66">
        <f>L114*ТАРИФЫ!E23/1000</f>
        <v>0.20609598099999998</v>
      </c>
      <c r="N114" s="66">
        <f>SUM(C114,E114,G114,I114,K114)+M114</f>
        <v>1041.6236407810002</v>
      </c>
      <c r="O114" s="50"/>
      <c r="P114" s="59"/>
    </row>
    <row r="115" spans="1:16" ht="89.25" customHeight="1" thickBot="1" x14ac:dyDescent="0.35">
      <c r="A115" s="60" t="s">
        <v>77</v>
      </c>
      <c r="B115" s="66">
        <f>B116+B117</f>
        <v>31.9</v>
      </c>
      <c r="C115" s="66">
        <f>C116+C117</f>
        <v>348.15017999999998</v>
      </c>
      <c r="D115" s="66">
        <f t="shared" ref="D115:L115" si="57">D116+D117</f>
        <v>125</v>
      </c>
      <c r="E115" s="66">
        <f>E116+E117</f>
        <v>1416.4770335999999</v>
      </c>
      <c r="F115" s="66">
        <f t="shared" si="57"/>
        <v>0</v>
      </c>
      <c r="G115" s="66">
        <f t="shared" si="57"/>
        <v>0</v>
      </c>
      <c r="H115" s="66">
        <f t="shared" si="57"/>
        <v>372.70000000000005</v>
      </c>
      <c r="I115" s="66">
        <f>I116+I117</f>
        <v>34.868383199999997</v>
      </c>
      <c r="J115" s="66">
        <f t="shared" si="57"/>
        <v>372.70000000000005</v>
      </c>
      <c r="K115" s="66">
        <f t="shared" si="57"/>
        <v>58.811277600000004</v>
      </c>
      <c r="L115" s="66">
        <f t="shared" si="57"/>
        <v>44.2</v>
      </c>
      <c r="M115" s="66">
        <f>M116+M117+0.1</f>
        <v>25.326929000000003</v>
      </c>
      <c r="N115" s="66">
        <f>N116+N117</f>
        <v>1883.7338033999999</v>
      </c>
      <c r="O115" s="50"/>
      <c r="P115" s="59"/>
    </row>
    <row r="116" spans="1:16" ht="20.100000000000001" customHeight="1" thickBot="1" x14ac:dyDescent="0.35">
      <c r="A116" s="60" t="s">
        <v>23</v>
      </c>
      <c r="B116" s="58">
        <v>16.899999999999999</v>
      </c>
      <c r="C116" s="58">
        <f>B116*ТАРИФЫ!F21</f>
        <v>180.28919999999999</v>
      </c>
      <c r="D116" s="66">
        <v>70.3</v>
      </c>
      <c r="E116" s="58">
        <f>D116*ТАРИФЫ!F5/1000</f>
        <v>754.09066559999985</v>
      </c>
      <c r="F116" s="66">
        <v>0</v>
      </c>
      <c r="G116" s="66">
        <f>F116*ТАРИФЫ!F5/1000</f>
        <v>0</v>
      </c>
      <c r="H116" s="66">
        <v>226.3</v>
      </c>
      <c r="I116" s="66">
        <f>H116*ТАРИФЫ!F10/1000</f>
        <v>20.1551832</v>
      </c>
      <c r="J116" s="66">
        <f>H116</f>
        <v>226.3</v>
      </c>
      <c r="K116" s="66">
        <f>J116*ТАРИФЫ!F15/1000</f>
        <v>34.200266400000004</v>
      </c>
      <c r="L116" s="66">
        <v>22.1</v>
      </c>
      <c r="M116" s="66">
        <f>L116*ТАРИФЫ!D26/1000</f>
        <v>12.257986000000001</v>
      </c>
      <c r="N116" s="66">
        <f>SUM(C116,E116,G116,I116,K116)+M116+0.1</f>
        <v>1001.0933011999999</v>
      </c>
      <c r="O116" s="50"/>
      <c r="P116" s="59"/>
    </row>
    <row r="117" spans="1:16" ht="20.100000000000001" customHeight="1" thickBot="1" x14ac:dyDescent="0.35">
      <c r="A117" s="60" t="s">
        <v>43</v>
      </c>
      <c r="B117" s="58">
        <v>15</v>
      </c>
      <c r="C117" s="58">
        <f>B117*ТАРИФЫ!G21</f>
        <v>167.86097999999998</v>
      </c>
      <c r="D117" s="66">
        <v>54.7</v>
      </c>
      <c r="E117" s="66">
        <f>D117*ТАРИФЫ!G5/1000</f>
        <v>662.38636800000006</v>
      </c>
      <c r="F117" s="66">
        <v>0</v>
      </c>
      <c r="G117" s="66">
        <f>F117*ТАРИФЫ!G5/1000</f>
        <v>0</v>
      </c>
      <c r="H117" s="66">
        <v>146.4</v>
      </c>
      <c r="I117" s="66">
        <f>H117*ТАРИФЫ!G10/1000</f>
        <v>14.713200000000001</v>
      </c>
      <c r="J117" s="66">
        <f>H117</f>
        <v>146.4</v>
      </c>
      <c r="K117" s="66">
        <f>J117*ТАРИФЫ!G15/1000</f>
        <v>24.6110112</v>
      </c>
      <c r="L117" s="66">
        <v>22.1</v>
      </c>
      <c r="M117" s="66">
        <f>L117*ТАРИФЫ!E26/1000</f>
        <v>12.968943000000001</v>
      </c>
      <c r="N117" s="66">
        <f>SUM(C117,E117,G117,I117,K117)+M117+0.1</f>
        <v>882.64050220000013</v>
      </c>
      <c r="O117" s="50"/>
      <c r="P117" s="59"/>
    </row>
    <row r="118" spans="1:16" ht="82.5" customHeight="1" thickBot="1" x14ac:dyDescent="0.35">
      <c r="A118" s="63" t="s">
        <v>99</v>
      </c>
      <c r="B118" s="66">
        <f>B119+B120</f>
        <v>9.1</v>
      </c>
      <c r="C118" s="66">
        <f>C119+C120</f>
        <v>98.962928000000005</v>
      </c>
      <c r="D118" s="66">
        <f t="shared" ref="D118:L118" si="58">D119+D120</f>
        <v>44.5</v>
      </c>
      <c r="E118" s="66">
        <f>E119+E120</f>
        <v>1138.9250999999999</v>
      </c>
      <c r="F118" s="66">
        <f t="shared" si="58"/>
        <v>0</v>
      </c>
      <c r="G118" s="66">
        <f t="shared" si="58"/>
        <v>0</v>
      </c>
      <c r="H118" s="66">
        <f t="shared" si="58"/>
        <v>28</v>
      </c>
      <c r="I118" s="66">
        <f t="shared" si="58"/>
        <v>2.1484719999999999</v>
      </c>
      <c r="J118" s="66">
        <f t="shared" si="58"/>
        <v>28</v>
      </c>
      <c r="K118" s="66">
        <f t="shared" si="58"/>
        <v>3.4304920000000001</v>
      </c>
      <c r="L118" s="66">
        <f t="shared" si="58"/>
        <v>12.8</v>
      </c>
      <c r="M118" s="66">
        <f>M119+M120</f>
        <v>7.305536</v>
      </c>
      <c r="N118" s="66">
        <f>SUM(C118,E118,G118,I118,K118)+M118-0.1</f>
        <v>1250.6725280000001</v>
      </c>
      <c r="O118" s="50"/>
      <c r="P118" s="59"/>
    </row>
    <row r="119" spans="1:16" ht="20.100000000000001" customHeight="1" thickBot="1" x14ac:dyDescent="0.35">
      <c r="A119" s="60" t="s">
        <v>23</v>
      </c>
      <c r="B119" s="62">
        <v>5.0999999999999996</v>
      </c>
      <c r="C119" s="58">
        <v>54.2</v>
      </c>
      <c r="D119" s="66">
        <v>33.5</v>
      </c>
      <c r="E119" s="58">
        <f>D119*ТАРИФЫ!F7/1000</f>
        <v>831.08354399999996</v>
      </c>
      <c r="F119" s="66">
        <v>0</v>
      </c>
      <c r="G119" s="58">
        <v>0</v>
      </c>
      <c r="H119" s="66">
        <v>23</v>
      </c>
      <c r="I119" s="58">
        <f>H119*ТАРИФЫ!F12/1000</f>
        <v>2.0484719999999998</v>
      </c>
      <c r="J119" s="66">
        <f>H119</f>
        <v>23</v>
      </c>
      <c r="K119" s="58">
        <f>J119*ТАРИФЫ!F17/1000</f>
        <v>3.330492</v>
      </c>
      <c r="L119" s="66">
        <v>6.4</v>
      </c>
      <c r="M119" s="66">
        <f>L119*ТАРИФЫ!D26/1000</f>
        <v>3.5498240000000001</v>
      </c>
      <c r="N119" s="66">
        <f>SUM(C119,E119,G119,I119,K119)+M119-0.1</f>
        <v>894.11233199999992</v>
      </c>
      <c r="O119" s="50"/>
      <c r="P119" s="59"/>
    </row>
    <row r="120" spans="1:16" ht="20.100000000000001" customHeight="1" thickBot="1" x14ac:dyDescent="0.35">
      <c r="A120" s="60" t="s">
        <v>43</v>
      </c>
      <c r="B120" s="58">
        <v>4</v>
      </c>
      <c r="C120" s="58">
        <f>B120*ТАРИФЫ!G21</f>
        <v>44.762927999999995</v>
      </c>
      <c r="D120" s="66">
        <v>11</v>
      </c>
      <c r="E120" s="58">
        <f>D120*ТАРИФЫ!G7/1000</f>
        <v>307.84155600000003</v>
      </c>
      <c r="F120" s="66">
        <v>0</v>
      </c>
      <c r="G120" s="58">
        <v>0</v>
      </c>
      <c r="H120" s="66">
        <v>5</v>
      </c>
      <c r="I120" s="58">
        <v>0.1</v>
      </c>
      <c r="J120" s="66">
        <f>H120</f>
        <v>5</v>
      </c>
      <c r="K120" s="58">
        <v>0.1</v>
      </c>
      <c r="L120" s="66">
        <v>6.4</v>
      </c>
      <c r="M120" s="66">
        <f>L120*ТАРИФЫ!E26/1000</f>
        <v>3.7557120000000004</v>
      </c>
      <c r="N120" s="66">
        <f>SUM(C120,E120,G120,I120,K120)+M120</f>
        <v>356.56019600000008</v>
      </c>
      <c r="O120" s="50"/>
      <c r="P120" s="59"/>
    </row>
    <row r="121" spans="1:16" ht="84.75" customHeight="1" thickBot="1" x14ac:dyDescent="0.35">
      <c r="A121" s="63" t="s">
        <v>73</v>
      </c>
      <c r="B121" s="66">
        <f>B122+B123</f>
        <v>383.9</v>
      </c>
      <c r="C121" s="66">
        <f>C122+C123</f>
        <v>2978.3999999999996</v>
      </c>
      <c r="D121" s="66">
        <f t="shared" ref="D121:H121" si="59">D122+D123</f>
        <v>221.3</v>
      </c>
      <c r="E121" s="66">
        <f>E122+E123+0.1</f>
        <v>2513.7199744</v>
      </c>
      <c r="F121" s="66">
        <f t="shared" si="59"/>
        <v>54.7</v>
      </c>
      <c r="G121" s="66">
        <f>G122+G123</f>
        <v>629.6166624</v>
      </c>
      <c r="H121" s="66">
        <f t="shared" si="59"/>
        <v>2698.7</v>
      </c>
      <c r="I121" s="66">
        <f>I122+I123</f>
        <v>258.42589679999998</v>
      </c>
      <c r="J121" s="66">
        <f>J122+J123</f>
        <v>2698.7</v>
      </c>
      <c r="K121" s="66">
        <f>K122+K123</f>
        <v>434.67753359999995</v>
      </c>
      <c r="L121" s="66">
        <f>L122+L123</f>
        <v>52.8</v>
      </c>
      <c r="M121" s="66">
        <f>M122+M123</f>
        <v>30.135335999999995</v>
      </c>
      <c r="N121" s="66">
        <f>SUM(C121,E121,G121,I121,K121)+M121-0.1</f>
        <v>6844.8754031999997</v>
      </c>
      <c r="O121" s="50"/>
      <c r="P121" s="59"/>
    </row>
    <row r="122" spans="1:16" ht="20.100000000000001" customHeight="1" thickBot="1" x14ac:dyDescent="0.35">
      <c r="A122" s="60" t="s">
        <v>23</v>
      </c>
      <c r="B122" s="58">
        <v>172.6</v>
      </c>
      <c r="C122" s="58">
        <v>1578.1</v>
      </c>
      <c r="D122" s="66">
        <v>120.2</v>
      </c>
      <c r="E122" s="58">
        <f>D122*ТАРИФЫ!F5/1000</f>
        <v>1289.3555904</v>
      </c>
      <c r="F122" s="66">
        <v>23.7</v>
      </c>
      <c r="G122" s="58">
        <f>F122*ТАРИФЫ!F5/1000</f>
        <v>254.22402239999997</v>
      </c>
      <c r="H122" s="66">
        <v>1118.7</v>
      </c>
      <c r="I122" s="66">
        <f>H122*ТАРИФЫ!F10/1000</f>
        <v>99.635896799999998</v>
      </c>
      <c r="J122" s="66">
        <f>H122</f>
        <v>1118.7</v>
      </c>
      <c r="K122" s="66">
        <f>J122*ТАРИФЫ!F15/1000</f>
        <v>169.06689359999999</v>
      </c>
      <c r="L122" s="66">
        <v>26.4</v>
      </c>
      <c r="M122" s="66">
        <f>L122*ТАРИФЫ!D26/1000</f>
        <v>14.643023999999997</v>
      </c>
      <c r="N122" s="66">
        <f>SUM(C122,E122,G122,I122,K122)+M122</f>
        <v>3405.0254271999997</v>
      </c>
      <c r="O122" s="50"/>
      <c r="P122" s="59"/>
    </row>
    <row r="123" spans="1:16" ht="20.100000000000001" customHeight="1" thickBot="1" x14ac:dyDescent="0.35">
      <c r="A123" s="60" t="s">
        <v>43</v>
      </c>
      <c r="B123" s="58">
        <v>211.3</v>
      </c>
      <c r="C123" s="58">
        <v>1400.3</v>
      </c>
      <c r="D123" s="66">
        <v>101.1</v>
      </c>
      <c r="E123" s="66">
        <f>D123*ТАРИФЫ!G5/1000</f>
        <v>1224.2643840000001</v>
      </c>
      <c r="F123" s="66">
        <v>31</v>
      </c>
      <c r="G123" s="66">
        <f>F123*ТАРИФЫ!G5/1000</f>
        <v>375.39264000000003</v>
      </c>
      <c r="H123" s="66">
        <v>1580</v>
      </c>
      <c r="I123" s="66">
        <f>H123*ТАРИФЫ!G10/1000</f>
        <v>158.79</v>
      </c>
      <c r="J123" s="66">
        <f>H123</f>
        <v>1580</v>
      </c>
      <c r="K123" s="66">
        <f>J123*ТАРИФЫ!G15/1000</f>
        <v>265.61063999999999</v>
      </c>
      <c r="L123" s="66">
        <v>26.4</v>
      </c>
      <c r="M123" s="66">
        <f>L123*ТАРИФЫ!E26/1000</f>
        <v>15.492312</v>
      </c>
      <c r="N123" s="66">
        <f>SUM(C123,E123,G123,I123,K123)+M123+0.1</f>
        <v>3439.9499759999999</v>
      </c>
      <c r="O123" s="50"/>
      <c r="P123" s="59"/>
    </row>
    <row r="124" spans="1:16" ht="84.75" customHeight="1" thickBot="1" x14ac:dyDescent="0.35">
      <c r="A124" s="63" t="s">
        <v>96</v>
      </c>
      <c r="B124" s="66">
        <f>B125+B126</f>
        <v>160.19999999999999</v>
      </c>
      <c r="C124" s="66">
        <f>C125+C126</f>
        <v>1750.5776332</v>
      </c>
      <c r="D124" s="66">
        <f t="shared" ref="D124:L124" si="60">D125+D126</f>
        <v>483.90000000000003</v>
      </c>
      <c r="E124" s="66">
        <f>E125+E126</f>
        <v>5424.0730272000001</v>
      </c>
      <c r="F124" s="66">
        <f t="shared" si="60"/>
        <v>3.3</v>
      </c>
      <c r="G124" s="66">
        <f>G125+G126</f>
        <v>39.546345599999995</v>
      </c>
      <c r="H124" s="66">
        <f t="shared" si="60"/>
        <v>606</v>
      </c>
      <c r="I124" s="66">
        <f>I125+I126-0.1</f>
        <v>56.971939999999996</v>
      </c>
      <c r="J124" s="66">
        <f t="shared" si="60"/>
        <v>606</v>
      </c>
      <c r="K124" s="66">
        <f>K125+K126</f>
        <v>96.185147999999998</v>
      </c>
      <c r="L124" s="66">
        <f t="shared" si="60"/>
        <v>96</v>
      </c>
      <c r="M124" s="66">
        <f>M125+M126</f>
        <v>54.791520000000006</v>
      </c>
      <c r="N124" s="66">
        <f>SUM(C124,E124,G124,I124,K124)+M124+0.1</f>
        <v>7422.2456140000004</v>
      </c>
      <c r="O124" s="50"/>
      <c r="P124" s="59"/>
    </row>
    <row r="125" spans="1:16" ht="20.100000000000001" customHeight="1" thickBot="1" x14ac:dyDescent="0.35">
      <c r="A125" s="60" t="s">
        <v>23</v>
      </c>
      <c r="B125" s="58">
        <v>80.099999999999994</v>
      </c>
      <c r="C125" s="58">
        <v>854.2</v>
      </c>
      <c r="D125" s="66">
        <v>315.10000000000002</v>
      </c>
      <c r="E125" s="58">
        <f>D125*ТАРИФЫ!F5/1000</f>
        <v>3379.9995552</v>
      </c>
      <c r="F125" s="66">
        <v>0.3</v>
      </c>
      <c r="G125" s="66">
        <f>F125*ТАРИФЫ!F5/1000</f>
        <v>3.2180255999999994</v>
      </c>
      <c r="H125" s="66">
        <v>335</v>
      </c>
      <c r="I125" s="66">
        <f>H125*ТАРИФЫ!F10/1000</f>
        <v>29.83644</v>
      </c>
      <c r="J125" s="66">
        <f>H125</f>
        <v>335</v>
      </c>
      <c r="K125" s="66">
        <f>J125*ТАРИФЫ!F15/1000</f>
        <v>50.627879999999998</v>
      </c>
      <c r="L125" s="66">
        <v>48</v>
      </c>
      <c r="M125" s="66">
        <f>L125*ТАРИФЫ!D26/1000</f>
        <v>26.62368</v>
      </c>
      <c r="N125" s="66">
        <f>SUM(C125,E125,G125,I125,K125)+M125-0.1</f>
        <v>4344.4055807999994</v>
      </c>
      <c r="O125" s="50"/>
      <c r="P125" s="59"/>
    </row>
    <row r="126" spans="1:16" ht="20.100000000000001" customHeight="1" thickBot="1" x14ac:dyDescent="0.35">
      <c r="A126" s="60" t="s">
        <v>43</v>
      </c>
      <c r="B126" s="58">
        <v>80.099999999999994</v>
      </c>
      <c r="C126" s="58">
        <f>B126*ТАРИФЫ!G21</f>
        <v>896.37763319999988</v>
      </c>
      <c r="D126" s="66">
        <v>168.8</v>
      </c>
      <c r="E126" s="66">
        <f>D126*ТАРИФЫ!G5/1000</f>
        <v>2044.0734720000003</v>
      </c>
      <c r="F126" s="66">
        <v>3</v>
      </c>
      <c r="G126" s="66">
        <f>F126*ТАРИФЫ!G5/1000</f>
        <v>36.328319999999998</v>
      </c>
      <c r="H126" s="66">
        <v>271</v>
      </c>
      <c r="I126" s="66">
        <f>H126*ТАРИФЫ!G10/1000</f>
        <v>27.235499999999998</v>
      </c>
      <c r="J126" s="66">
        <f>H126</f>
        <v>271</v>
      </c>
      <c r="K126" s="66">
        <f>J126*ТАРИФЫ!G15/1000</f>
        <v>45.557268000000001</v>
      </c>
      <c r="L126" s="66">
        <v>48</v>
      </c>
      <c r="M126" s="66">
        <f>L126*ТАРИФЫ!E27/1000</f>
        <v>28.167840000000005</v>
      </c>
      <c r="N126" s="66">
        <f>SUM(C126,E126,G126,I126,K126)+M126+0.1</f>
        <v>3077.8400332000001</v>
      </c>
      <c r="O126" s="50"/>
      <c r="P126" s="59"/>
    </row>
    <row r="127" spans="1:16" ht="27.75" customHeight="1" thickBot="1" x14ac:dyDescent="0.35">
      <c r="A127" s="86" t="s">
        <v>15</v>
      </c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8"/>
      <c r="O127" s="50"/>
      <c r="P127" s="77"/>
    </row>
    <row r="128" spans="1:16" ht="86.25" customHeight="1" thickBot="1" x14ac:dyDescent="0.35">
      <c r="A128" s="60" t="s">
        <v>97</v>
      </c>
      <c r="B128" s="66">
        <f t="shared" ref="B128:L128" si="61">SUM(B129:B130)</f>
        <v>8.3999999999999986</v>
      </c>
      <c r="C128" s="58">
        <f>SUM(C129:C130)</f>
        <v>93.16346519999999</v>
      </c>
      <c r="D128" s="66">
        <f t="shared" si="61"/>
        <v>54.809999999999995</v>
      </c>
      <c r="E128" s="66">
        <f t="shared" si="61"/>
        <v>615.3082970879999</v>
      </c>
      <c r="F128" s="66">
        <f>SUM(F129:F130)-0.1</f>
        <v>0.55500000000000005</v>
      </c>
      <c r="G128" s="66">
        <f t="shared" si="61"/>
        <v>5.9</v>
      </c>
      <c r="H128" s="66">
        <f>SUM(H129:H130)-0.1</f>
        <v>27.073999999999998</v>
      </c>
      <c r="I128" s="66">
        <f t="shared" si="61"/>
        <v>2.6</v>
      </c>
      <c r="J128" s="66">
        <f t="shared" si="61"/>
        <v>27.132000000000001</v>
      </c>
      <c r="K128" s="66">
        <f t="shared" si="61"/>
        <v>4.3000000000000007</v>
      </c>
      <c r="L128" s="66">
        <f t="shared" si="61"/>
        <v>10.199999999999999</v>
      </c>
      <c r="M128" s="66">
        <f>SUM(M129:M130)</f>
        <v>5.8215989999999991</v>
      </c>
      <c r="N128" s="66">
        <f>SUM(C128,E128,G128,I128,K128)+M128</f>
        <v>727.09336128799987</v>
      </c>
      <c r="O128" s="50"/>
      <c r="P128" s="59"/>
    </row>
    <row r="129" spans="1:17" ht="28.5" customHeight="1" thickBot="1" x14ac:dyDescent="0.35">
      <c r="A129" s="60" t="s">
        <v>23</v>
      </c>
      <c r="B129" s="64">
        <v>2.2999999999999998</v>
      </c>
      <c r="C129" s="58">
        <v>24.9</v>
      </c>
      <c r="D129" s="66">
        <v>35.043999999999997</v>
      </c>
      <c r="E129" s="66">
        <f>D129*ТАРИФЫ!F5/1000</f>
        <v>375.90829708799993</v>
      </c>
      <c r="F129" s="66">
        <v>0.34200000000000003</v>
      </c>
      <c r="G129" s="66">
        <v>2.9</v>
      </c>
      <c r="H129" s="66">
        <v>13.842000000000001</v>
      </c>
      <c r="I129" s="66">
        <f>ROUNDUP(H129*ТАРИФЫ!$F$10/1000,1)</f>
        <v>1.3</v>
      </c>
      <c r="J129" s="66">
        <v>13.8</v>
      </c>
      <c r="K129" s="66">
        <f>ROUND(J129*ТАРИФЫ!$F$15/1000,1)</f>
        <v>2.1</v>
      </c>
      <c r="L129" s="66">
        <v>5.0999999999999996</v>
      </c>
      <c r="M129" s="66">
        <f>L129*ТАРИФЫ!D26/1000</f>
        <v>2.8287659999999994</v>
      </c>
      <c r="N129" s="66">
        <f>SUM(C129,E129,G129,I129,K129)+M129</f>
        <v>409.93706308799989</v>
      </c>
      <c r="O129" s="50"/>
      <c r="P129" s="59"/>
    </row>
    <row r="130" spans="1:17" ht="28.5" customHeight="1" thickBot="1" x14ac:dyDescent="0.35">
      <c r="A130" s="60" t="s">
        <v>43</v>
      </c>
      <c r="B130" s="64">
        <v>6.1</v>
      </c>
      <c r="C130" s="58">
        <f>B130*ТАРИФЫ!G21</f>
        <v>68.263465199999985</v>
      </c>
      <c r="D130" s="66">
        <v>19.765999999999998</v>
      </c>
      <c r="E130" s="66">
        <f>ROUNDUP(D130*ТАРИФЫ!$G$5/1000,1)</f>
        <v>239.4</v>
      </c>
      <c r="F130" s="66">
        <v>0.313</v>
      </c>
      <c r="G130" s="66">
        <v>3</v>
      </c>
      <c r="H130" s="66">
        <v>13.332000000000001</v>
      </c>
      <c r="I130" s="66">
        <f>ROUND(H130*ТАРИФЫ!$G$10/1000,1)</f>
        <v>1.3</v>
      </c>
      <c r="J130" s="66">
        <v>13.332000000000001</v>
      </c>
      <c r="K130" s="66">
        <f>ROUND(J130*ТАРИФЫ!$G$15/1000,1)</f>
        <v>2.2000000000000002</v>
      </c>
      <c r="L130" s="66">
        <v>5.0999999999999996</v>
      </c>
      <c r="M130" s="66">
        <f>L130*ТАРИФЫ!E26/1000</f>
        <v>2.9928330000000001</v>
      </c>
      <c r="N130" s="66">
        <f>SUM(C130,E130,G130,I130,K130)+M130</f>
        <v>317.15629820000004</v>
      </c>
      <c r="O130" s="50"/>
      <c r="P130" s="59"/>
    </row>
    <row r="131" spans="1:17" ht="25.5" customHeight="1" thickBot="1" x14ac:dyDescent="0.35">
      <c r="A131" s="86" t="s">
        <v>16</v>
      </c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8"/>
      <c r="O131" s="50"/>
      <c r="P131" s="59"/>
    </row>
    <row r="132" spans="1:17" ht="87" customHeight="1" thickBot="1" x14ac:dyDescent="0.35">
      <c r="A132" s="60">
        <v>29</v>
      </c>
      <c r="B132" s="58">
        <f>B133+B134</f>
        <v>550.70000000000005</v>
      </c>
      <c r="C132" s="58">
        <f>C133+C134+0.1</f>
        <v>5669.6451640000005</v>
      </c>
      <c r="D132" s="58">
        <f t="shared" ref="D132:K132" si="62">D133+D134</f>
        <v>0</v>
      </c>
      <c r="E132" s="58">
        <v>0</v>
      </c>
      <c r="F132" s="58">
        <f t="shared" si="62"/>
        <v>0</v>
      </c>
      <c r="G132" s="58">
        <f t="shared" si="62"/>
        <v>0</v>
      </c>
      <c r="H132" s="58">
        <f t="shared" si="62"/>
        <v>0</v>
      </c>
      <c r="I132" s="58">
        <f t="shared" si="62"/>
        <v>0</v>
      </c>
      <c r="J132" s="58">
        <f t="shared" si="62"/>
        <v>0</v>
      </c>
      <c r="K132" s="58">
        <f t="shared" si="62"/>
        <v>0</v>
      </c>
      <c r="L132" s="58">
        <v>0</v>
      </c>
      <c r="M132" s="58">
        <v>0</v>
      </c>
      <c r="N132" s="65">
        <f>SUM(C132,E132,G132,I132,K132)+M132</f>
        <v>5669.6451640000005</v>
      </c>
      <c r="O132" s="50"/>
      <c r="P132" s="59"/>
    </row>
    <row r="133" spans="1:17" ht="27.75" customHeight="1" thickBot="1" x14ac:dyDescent="0.35">
      <c r="A133" s="60" t="s">
        <v>23</v>
      </c>
      <c r="B133" s="64">
        <f>B137+B146+B140+B143</f>
        <v>268</v>
      </c>
      <c r="C133" s="64">
        <f>C137+C146+C140+C143</f>
        <v>2502.8540000000003</v>
      </c>
      <c r="D133" s="64">
        <f t="shared" ref="D133:N133" si="63">D137+D146+D140+D143</f>
        <v>0</v>
      </c>
      <c r="E133" s="64">
        <f t="shared" si="63"/>
        <v>0</v>
      </c>
      <c r="F133" s="64">
        <f t="shared" si="63"/>
        <v>0</v>
      </c>
      <c r="G133" s="64">
        <f t="shared" si="63"/>
        <v>0</v>
      </c>
      <c r="H133" s="64">
        <f t="shared" si="63"/>
        <v>0</v>
      </c>
      <c r="I133" s="64">
        <f t="shared" si="63"/>
        <v>0</v>
      </c>
      <c r="J133" s="64">
        <f t="shared" si="63"/>
        <v>0</v>
      </c>
      <c r="K133" s="64">
        <f t="shared" si="63"/>
        <v>0</v>
      </c>
      <c r="L133" s="64">
        <f t="shared" si="63"/>
        <v>0</v>
      </c>
      <c r="M133" s="64">
        <f t="shared" si="63"/>
        <v>0</v>
      </c>
      <c r="N133" s="58">
        <f t="shared" si="63"/>
        <v>2502.8540000000003</v>
      </c>
      <c r="O133" s="50"/>
      <c r="P133" s="59"/>
    </row>
    <row r="134" spans="1:17" ht="27" customHeight="1" thickBot="1" x14ac:dyDescent="0.35">
      <c r="A134" s="60" t="s">
        <v>43</v>
      </c>
      <c r="B134" s="64">
        <f>B138+B147+B141+B144</f>
        <v>282.7</v>
      </c>
      <c r="C134" s="64">
        <f>C138+C147+C141+C144+0.1</f>
        <v>3166.6911639999998</v>
      </c>
      <c r="D134" s="64">
        <f t="shared" ref="D134:M134" si="64">D138+D147+D141+D144</f>
        <v>0</v>
      </c>
      <c r="E134" s="64">
        <f t="shared" si="64"/>
        <v>0</v>
      </c>
      <c r="F134" s="64">
        <f t="shared" si="64"/>
        <v>0</v>
      </c>
      <c r="G134" s="64">
        <f t="shared" si="64"/>
        <v>0</v>
      </c>
      <c r="H134" s="64">
        <f t="shared" si="64"/>
        <v>0</v>
      </c>
      <c r="I134" s="64">
        <f t="shared" si="64"/>
        <v>0</v>
      </c>
      <c r="J134" s="64">
        <f t="shared" si="64"/>
        <v>0</v>
      </c>
      <c r="K134" s="64">
        <f t="shared" si="64"/>
        <v>0</v>
      </c>
      <c r="L134" s="64">
        <f t="shared" si="64"/>
        <v>0</v>
      </c>
      <c r="M134" s="64">
        <f t="shared" si="64"/>
        <v>0</v>
      </c>
      <c r="N134" s="62">
        <f>N138+N147+N141+N144+0.1</f>
        <v>3166.6911639999998</v>
      </c>
      <c r="O134" s="50"/>
      <c r="P134" s="59"/>
    </row>
    <row r="135" spans="1:17" ht="18" customHeight="1" thickBot="1" x14ac:dyDescent="0.35">
      <c r="A135" s="86">
        <v>3</v>
      </c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102"/>
      <c r="O135" s="50"/>
      <c r="P135" s="59"/>
    </row>
    <row r="136" spans="1:17" s="78" customFormat="1" ht="30" customHeight="1" thickBot="1" x14ac:dyDescent="0.35">
      <c r="A136" s="67" t="s">
        <v>22</v>
      </c>
      <c r="B136" s="58">
        <f t="shared" ref="B136:K136" si="65">B137+B138</f>
        <v>356.7</v>
      </c>
      <c r="C136" s="58">
        <f>C137+C138</f>
        <v>3660.0674211999999</v>
      </c>
      <c r="D136" s="58">
        <f t="shared" si="65"/>
        <v>0</v>
      </c>
      <c r="E136" s="58">
        <f t="shared" si="65"/>
        <v>0</v>
      </c>
      <c r="F136" s="58">
        <f t="shared" si="65"/>
        <v>0</v>
      </c>
      <c r="G136" s="58">
        <f t="shared" si="65"/>
        <v>0</v>
      </c>
      <c r="H136" s="58">
        <f t="shared" si="65"/>
        <v>0</v>
      </c>
      <c r="I136" s="58">
        <f t="shared" si="65"/>
        <v>0</v>
      </c>
      <c r="J136" s="58">
        <f t="shared" si="65"/>
        <v>0</v>
      </c>
      <c r="K136" s="58">
        <f t="shared" si="65"/>
        <v>0</v>
      </c>
      <c r="L136" s="58">
        <v>0</v>
      </c>
      <c r="M136" s="58">
        <v>0</v>
      </c>
      <c r="N136" s="66">
        <f t="shared" ref="N136:N150" si="66">SUM(C136,E136,G136,I136,K136)+M136</f>
        <v>3660.0674211999999</v>
      </c>
      <c r="O136" s="50"/>
      <c r="P136" s="59"/>
      <c r="Q136" s="76"/>
    </row>
    <row r="137" spans="1:17" ht="20.100000000000001" customHeight="1" thickBot="1" x14ac:dyDescent="0.35">
      <c r="A137" s="60" t="s">
        <v>23</v>
      </c>
      <c r="B137" s="58">
        <v>167.6</v>
      </c>
      <c r="C137" s="58">
        <v>1543.9</v>
      </c>
      <c r="D137" s="58">
        <v>0</v>
      </c>
      <c r="E137" s="58">
        <v>0</v>
      </c>
      <c r="F137" s="58">
        <v>0</v>
      </c>
      <c r="G137" s="66">
        <v>0</v>
      </c>
      <c r="H137" s="66">
        <v>0</v>
      </c>
      <c r="I137" s="66">
        <v>0</v>
      </c>
      <c r="J137" s="66">
        <v>0</v>
      </c>
      <c r="K137" s="66">
        <v>0</v>
      </c>
      <c r="L137" s="66">
        <v>0</v>
      </c>
      <c r="M137" s="66">
        <v>0</v>
      </c>
      <c r="N137" s="66">
        <f t="shared" si="66"/>
        <v>1543.9</v>
      </c>
      <c r="O137" s="50"/>
      <c r="P137" s="59"/>
    </row>
    <row r="138" spans="1:17" ht="20.100000000000001" customHeight="1" thickBot="1" x14ac:dyDescent="0.35">
      <c r="A138" s="60" t="s">
        <v>43</v>
      </c>
      <c r="B138" s="58">
        <v>189.1</v>
      </c>
      <c r="C138" s="58">
        <f>B138*ТАРИФЫ!G21</f>
        <v>2116.1674211999998</v>
      </c>
      <c r="D138" s="58">
        <v>0</v>
      </c>
      <c r="E138" s="58">
        <v>0</v>
      </c>
      <c r="F138" s="58">
        <v>0</v>
      </c>
      <c r="G138" s="66">
        <v>0</v>
      </c>
      <c r="H138" s="66">
        <v>0</v>
      </c>
      <c r="I138" s="66">
        <v>0</v>
      </c>
      <c r="J138" s="66">
        <v>0</v>
      </c>
      <c r="K138" s="66">
        <v>0</v>
      </c>
      <c r="L138" s="66">
        <v>0</v>
      </c>
      <c r="M138" s="66">
        <v>0</v>
      </c>
      <c r="N138" s="66">
        <f t="shared" si="66"/>
        <v>2116.1674211999998</v>
      </c>
      <c r="O138" s="50"/>
      <c r="P138" s="59"/>
    </row>
    <row r="139" spans="1:17" ht="20.100000000000001" customHeight="1" thickBot="1" x14ac:dyDescent="0.35">
      <c r="A139" s="60" t="s">
        <v>64</v>
      </c>
      <c r="B139" s="58">
        <f>B140+B141</f>
        <v>31.5</v>
      </c>
      <c r="C139" s="58">
        <f t="shared" ref="C139:M139" si="67">C140+C141</f>
        <v>321.70893160000003</v>
      </c>
      <c r="D139" s="58">
        <f t="shared" si="67"/>
        <v>0</v>
      </c>
      <c r="E139" s="58">
        <f t="shared" si="67"/>
        <v>0</v>
      </c>
      <c r="F139" s="58">
        <f t="shared" si="67"/>
        <v>0</v>
      </c>
      <c r="G139" s="58">
        <f t="shared" si="67"/>
        <v>0</v>
      </c>
      <c r="H139" s="58">
        <f t="shared" si="67"/>
        <v>0</v>
      </c>
      <c r="I139" s="58">
        <f t="shared" si="67"/>
        <v>0</v>
      </c>
      <c r="J139" s="58">
        <f t="shared" si="67"/>
        <v>0</v>
      </c>
      <c r="K139" s="58">
        <f t="shared" si="67"/>
        <v>0</v>
      </c>
      <c r="L139" s="58">
        <f t="shared" si="67"/>
        <v>0</v>
      </c>
      <c r="M139" s="58">
        <f t="shared" si="67"/>
        <v>0</v>
      </c>
      <c r="N139" s="66">
        <f t="shared" si="66"/>
        <v>321.70893160000003</v>
      </c>
      <c r="O139" s="50"/>
      <c r="P139" s="59"/>
    </row>
    <row r="140" spans="1:17" ht="20.100000000000001" customHeight="1" thickBot="1" x14ac:dyDescent="0.35">
      <c r="A140" s="60" t="s">
        <v>23</v>
      </c>
      <c r="B140" s="58">
        <v>15.2</v>
      </c>
      <c r="C140" s="58">
        <v>139.30000000000001</v>
      </c>
      <c r="D140" s="58">
        <f t="shared" ref="D140:M141" si="68">D141+D142</f>
        <v>0</v>
      </c>
      <c r="E140" s="58">
        <f t="shared" si="68"/>
        <v>0</v>
      </c>
      <c r="F140" s="58">
        <f t="shared" si="68"/>
        <v>0</v>
      </c>
      <c r="G140" s="58">
        <f t="shared" si="68"/>
        <v>0</v>
      </c>
      <c r="H140" s="58">
        <f t="shared" si="68"/>
        <v>0</v>
      </c>
      <c r="I140" s="58">
        <f t="shared" si="68"/>
        <v>0</v>
      </c>
      <c r="J140" s="58">
        <f t="shared" si="68"/>
        <v>0</v>
      </c>
      <c r="K140" s="58">
        <f t="shared" si="68"/>
        <v>0</v>
      </c>
      <c r="L140" s="58">
        <f t="shared" si="68"/>
        <v>0</v>
      </c>
      <c r="M140" s="58">
        <f t="shared" si="68"/>
        <v>0</v>
      </c>
      <c r="N140" s="66">
        <f t="shared" si="66"/>
        <v>139.30000000000001</v>
      </c>
      <c r="O140" s="50"/>
      <c r="P140" s="59"/>
    </row>
    <row r="141" spans="1:17" ht="20.100000000000001" customHeight="1" thickBot="1" x14ac:dyDescent="0.35">
      <c r="A141" s="60" t="s">
        <v>43</v>
      </c>
      <c r="B141" s="58">
        <v>16.3</v>
      </c>
      <c r="C141" s="58">
        <f>B141*ТАРИФЫ!G21</f>
        <v>182.40893159999999</v>
      </c>
      <c r="D141" s="58">
        <f t="shared" si="68"/>
        <v>0</v>
      </c>
      <c r="E141" s="58">
        <f t="shared" si="68"/>
        <v>0</v>
      </c>
      <c r="F141" s="58">
        <f t="shared" si="68"/>
        <v>0</v>
      </c>
      <c r="G141" s="58">
        <f t="shared" si="68"/>
        <v>0</v>
      </c>
      <c r="H141" s="58">
        <f t="shared" si="68"/>
        <v>0</v>
      </c>
      <c r="I141" s="58">
        <f t="shared" si="68"/>
        <v>0</v>
      </c>
      <c r="J141" s="58">
        <f t="shared" si="68"/>
        <v>0</v>
      </c>
      <c r="K141" s="58">
        <f t="shared" si="68"/>
        <v>0</v>
      </c>
      <c r="L141" s="58">
        <f t="shared" si="68"/>
        <v>0</v>
      </c>
      <c r="M141" s="58">
        <f t="shared" si="68"/>
        <v>0</v>
      </c>
      <c r="N141" s="66">
        <f t="shared" si="66"/>
        <v>182.40893159999999</v>
      </c>
      <c r="O141" s="50"/>
      <c r="P141" s="59"/>
    </row>
    <row r="142" spans="1:17" ht="20.100000000000001" customHeight="1" thickBot="1" x14ac:dyDescent="0.35">
      <c r="A142" s="60" t="s">
        <v>17</v>
      </c>
      <c r="B142" s="58">
        <f>B143+B144</f>
        <v>152.30000000000001</v>
      </c>
      <c r="C142" s="58">
        <f t="shared" ref="C142:M144" si="69">C143+C144</f>
        <v>1574.9564111999998</v>
      </c>
      <c r="D142" s="58">
        <f t="shared" si="69"/>
        <v>0</v>
      </c>
      <c r="E142" s="58">
        <f t="shared" si="69"/>
        <v>0</v>
      </c>
      <c r="F142" s="58">
        <f t="shared" si="69"/>
        <v>0</v>
      </c>
      <c r="G142" s="58">
        <f t="shared" si="69"/>
        <v>0</v>
      </c>
      <c r="H142" s="58">
        <f t="shared" si="69"/>
        <v>0</v>
      </c>
      <c r="I142" s="58">
        <f t="shared" si="69"/>
        <v>0</v>
      </c>
      <c r="J142" s="58">
        <f t="shared" si="69"/>
        <v>0</v>
      </c>
      <c r="K142" s="58">
        <f t="shared" si="69"/>
        <v>0</v>
      </c>
      <c r="L142" s="58">
        <f t="shared" si="69"/>
        <v>0</v>
      </c>
      <c r="M142" s="58">
        <f t="shared" si="69"/>
        <v>0</v>
      </c>
      <c r="N142" s="66">
        <f t="shared" si="66"/>
        <v>1574.9564111999998</v>
      </c>
      <c r="O142" s="50"/>
      <c r="P142" s="59"/>
    </row>
    <row r="143" spans="1:17" ht="20.100000000000001" customHeight="1" thickBot="1" x14ac:dyDescent="0.35">
      <c r="A143" s="60" t="s">
        <v>23</v>
      </c>
      <c r="B143" s="58">
        <v>80.7</v>
      </c>
      <c r="C143" s="58">
        <v>773.7</v>
      </c>
      <c r="D143" s="58">
        <f t="shared" si="69"/>
        <v>0</v>
      </c>
      <c r="E143" s="58">
        <f t="shared" si="69"/>
        <v>0</v>
      </c>
      <c r="F143" s="58">
        <f t="shared" si="69"/>
        <v>0</v>
      </c>
      <c r="G143" s="58">
        <f t="shared" si="69"/>
        <v>0</v>
      </c>
      <c r="H143" s="58">
        <f t="shared" si="69"/>
        <v>0</v>
      </c>
      <c r="I143" s="58">
        <f t="shared" si="69"/>
        <v>0</v>
      </c>
      <c r="J143" s="58">
        <f t="shared" si="69"/>
        <v>0</v>
      </c>
      <c r="K143" s="58">
        <f t="shared" si="69"/>
        <v>0</v>
      </c>
      <c r="L143" s="58">
        <f t="shared" si="69"/>
        <v>0</v>
      </c>
      <c r="M143" s="58">
        <f t="shared" si="69"/>
        <v>0</v>
      </c>
      <c r="N143" s="66">
        <f t="shared" si="66"/>
        <v>773.7</v>
      </c>
      <c r="O143" s="50"/>
      <c r="P143" s="59"/>
    </row>
    <row r="144" spans="1:17" ht="20.100000000000001" customHeight="1" thickBot="1" x14ac:dyDescent="0.35">
      <c r="A144" s="60" t="s">
        <v>43</v>
      </c>
      <c r="B144" s="58">
        <v>71.599999999999994</v>
      </c>
      <c r="C144" s="58">
        <f>B144*ТАРИФЫ!G21</f>
        <v>801.25641119999989</v>
      </c>
      <c r="D144" s="58">
        <f t="shared" si="69"/>
        <v>0</v>
      </c>
      <c r="E144" s="58">
        <f t="shared" si="69"/>
        <v>0</v>
      </c>
      <c r="F144" s="58">
        <f t="shared" si="69"/>
        <v>0</v>
      </c>
      <c r="G144" s="58">
        <f t="shared" si="69"/>
        <v>0</v>
      </c>
      <c r="H144" s="58">
        <f t="shared" si="69"/>
        <v>0</v>
      </c>
      <c r="I144" s="58">
        <f t="shared" si="69"/>
        <v>0</v>
      </c>
      <c r="J144" s="58">
        <f t="shared" si="69"/>
        <v>0</v>
      </c>
      <c r="K144" s="58">
        <f t="shared" si="69"/>
        <v>0</v>
      </c>
      <c r="L144" s="58">
        <f t="shared" si="69"/>
        <v>0</v>
      </c>
      <c r="M144" s="58">
        <f t="shared" si="69"/>
        <v>0</v>
      </c>
      <c r="N144" s="66">
        <f t="shared" si="66"/>
        <v>801.25641119999989</v>
      </c>
      <c r="O144" s="50"/>
      <c r="P144" s="59"/>
    </row>
    <row r="145" spans="1:17" ht="20.25" customHeight="1" thickBot="1" x14ac:dyDescent="0.35">
      <c r="A145" s="60" t="s">
        <v>19</v>
      </c>
      <c r="B145" s="58">
        <f>B146+B147</f>
        <v>10.199999999999999</v>
      </c>
      <c r="C145" s="58">
        <f>C146+C147+0.1</f>
        <v>112.8124</v>
      </c>
      <c r="D145" s="66">
        <v>0</v>
      </c>
      <c r="E145" s="66">
        <v>0</v>
      </c>
      <c r="F145" s="66">
        <v>0</v>
      </c>
      <c r="G145" s="66">
        <v>0</v>
      </c>
      <c r="H145" s="66">
        <v>0</v>
      </c>
      <c r="I145" s="66">
        <v>0</v>
      </c>
      <c r="J145" s="66">
        <v>0</v>
      </c>
      <c r="K145" s="66">
        <v>0</v>
      </c>
      <c r="L145" s="66">
        <v>0</v>
      </c>
      <c r="M145" s="66">
        <v>0</v>
      </c>
      <c r="N145" s="66">
        <f t="shared" si="66"/>
        <v>112.8124</v>
      </c>
      <c r="O145" s="50"/>
      <c r="P145" s="59"/>
    </row>
    <row r="146" spans="1:17" ht="20.25" customHeight="1" thickBot="1" x14ac:dyDescent="0.35">
      <c r="A146" s="60" t="s">
        <v>23</v>
      </c>
      <c r="B146" s="58">
        <v>4.5</v>
      </c>
      <c r="C146" s="58">
        <f>B146*ТАРИФЫ!F22</f>
        <v>45.954000000000001</v>
      </c>
      <c r="D146" s="58">
        <v>0</v>
      </c>
      <c r="E146" s="58">
        <v>0</v>
      </c>
      <c r="F146" s="58">
        <v>0</v>
      </c>
      <c r="G146" s="66">
        <v>0</v>
      </c>
      <c r="H146" s="66">
        <v>0</v>
      </c>
      <c r="I146" s="66">
        <v>0</v>
      </c>
      <c r="J146" s="66">
        <v>0</v>
      </c>
      <c r="K146" s="66">
        <v>0</v>
      </c>
      <c r="L146" s="66">
        <v>0</v>
      </c>
      <c r="M146" s="66">
        <v>0</v>
      </c>
      <c r="N146" s="66">
        <f>SUM(C146,E146,G146,I146,K146)+M146</f>
        <v>45.954000000000001</v>
      </c>
      <c r="O146" s="50"/>
      <c r="P146" s="59"/>
    </row>
    <row r="147" spans="1:17" ht="20.25" customHeight="1" thickBot="1" x14ac:dyDescent="0.35">
      <c r="A147" s="60" t="s">
        <v>43</v>
      </c>
      <c r="B147" s="58">
        <v>5.7</v>
      </c>
      <c r="C147" s="58">
        <f>B147*ТАРИФЫ!G22</f>
        <v>66.758399999999995</v>
      </c>
      <c r="D147" s="58">
        <v>0</v>
      </c>
      <c r="E147" s="58">
        <v>0</v>
      </c>
      <c r="F147" s="58">
        <v>0</v>
      </c>
      <c r="G147" s="66">
        <v>0</v>
      </c>
      <c r="H147" s="66">
        <v>0</v>
      </c>
      <c r="I147" s="66">
        <v>0</v>
      </c>
      <c r="J147" s="66">
        <v>0</v>
      </c>
      <c r="K147" s="66">
        <v>0</v>
      </c>
      <c r="L147" s="66">
        <v>0</v>
      </c>
      <c r="M147" s="66">
        <v>0</v>
      </c>
      <c r="N147" s="66">
        <f>SUM(C147,E147,G147,I147,K147)+M147</f>
        <v>66.758399999999995</v>
      </c>
      <c r="O147" s="50"/>
      <c r="P147" s="59"/>
    </row>
    <row r="148" spans="1:17" ht="97.5" customHeight="1" thickBot="1" x14ac:dyDescent="0.35">
      <c r="A148" s="60" t="s">
        <v>74</v>
      </c>
      <c r="B148" s="58">
        <f>SUM(B149:B150)</f>
        <v>0</v>
      </c>
      <c r="C148" s="58">
        <f>SUM(C149:C150)</f>
        <v>133.5</v>
      </c>
      <c r="D148" s="58">
        <v>0</v>
      </c>
      <c r="E148" s="58">
        <f>SUM(E149:E150)</f>
        <v>6380.1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f>K149+K150</f>
        <v>0</v>
      </c>
      <c r="L148" s="58">
        <v>0</v>
      </c>
      <c r="M148" s="58">
        <v>0</v>
      </c>
      <c r="N148" s="66">
        <f t="shared" si="66"/>
        <v>6513.6</v>
      </c>
      <c r="O148" s="50"/>
      <c r="P148" s="59"/>
    </row>
    <row r="149" spans="1:17" ht="29.25" customHeight="1" thickBot="1" x14ac:dyDescent="0.35">
      <c r="A149" s="60" t="s">
        <v>23</v>
      </c>
      <c r="B149" s="58">
        <v>0</v>
      </c>
      <c r="C149" s="58">
        <v>33.5</v>
      </c>
      <c r="D149" s="66">
        <v>0</v>
      </c>
      <c r="E149" s="66">
        <v>3380.1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f t="shared" si="66"/>
        <v>3413.6</v>
      </c>
      <c r="O149" s="50"/>
      <c r="P149" s="59"/>
    </row>
    <row r="150" spans="1:17" ht="27" customHeight="1" thickBot="1" x14ac:dyDescent="0.35">
      <c r="A150" s="60" t="s">
        <v>43</v>
      </c>
      <c r="B150" s="58">
        <v>0</v>
      </c>
      <c r="C150" s="58">
        <v>100</v>
      </c>
      <c r="D150" s="66">
        <v>0</v>
      </c>
      <c r="E150" s="66">
        <v>3000</v>
      </c>
      <c r="F150" s="66">
        <v>0</v>
      </c>
      <c r="G150" s="66">
        <v>0</v>
      </c>
      <c r="H150" s="66">
        <v>0</v>
      </c>
      <c r="I150" s="66">
        <v>0</v>
      </c>
      <c r="J150" s="66">
        <v>0</v>
      </c>
      <c r="K150" s="66">
        <v>0</v>
      </c>
      <c r="L150" s="66">
        <v>0</v>
      </c>
      <c r="M150" s="66">
        <v>0</v>
      </c>
      <c r="N150" s="66">
        <f t="shared" si="66"/>
        <v>3100</v>
      </c>
      <c r="O150" s="50"/>
      <c r="P150" s="59"/>
    </row>
    <row r="151" spans="1:17" ht="31.5" customHeight="1" thickBot="1" x14ac:dyDescent="0.35">
      <c r="A151" s="60" t="s">
        <v>24</v>
      </c>
      <c r="B151" s="66">
        <f>B152+B153</f>
        <v>2063.1</v>
      </c>
      <c r="C151" s="66">
        <f>C152+C153</f>
        <v>20945.382527199996</v>
      </c>
      <c r="D151" s="66">
        <f>D152+D153</f>
        <v>8675.41</v>
      </c>
      <c r="E151" s="66">
        <f>E152+E153</f>
        <v>140749.61887388799</v>
      </c>
      <c r="F151" s="66">
        <f>F152+F153-0.1</f>
        <v>539.9129999999999</v>
      </c>
      <c r="G151" s="66">
        <f>G152+G153</f>
        <v>7592.6805428160005</v>
      </c>
      <c r="H151" s="66">
        <f>H152+H153-0.1</f>
        <v>22583.153000000006</v>
      </c>
      <c r="I151" s="66">
        <f>I152+I153</f>
        <v>3028.5586504560001</v>
      </c>
      <c r="J151" s="66">
        <f>J152+J153</f>
        <v>22603.211000000003</v>
      </c>
      <c r="K151" s="66">
        <f>K152+K153</f>
        <v>3564.3378387119992</v>
      </c>
      <c r="L151" s="66">
        <f>L152+L153</f>
        <v>1211.212</v>
      </c>
      <c r="M151" s="66">
        <f>M152+M153</f>
        <v>666.23749042100008</v>
      </c>
      <c r="N151" s="66">
        <f>SUM(C151,E151,G151,I151,K151)+M151</f>
        <v>176546.81592349295</v>
      </c>
      <c r="O151" s="50"/>
      <c r="P151" s="59"/>
    </row>
    <row r="152" spans="1:17" ht="19.5" thickBot="1" x14ac:dyDescent="0.35">
      <c r="A152" s="60" t="s">
        <v>23</v>
      </c>
      <c r="B152" s="58">
        <f t="shared" ref="B152:D153" si="70">B19+B75+B101+B105+B129+B133+B149+B16</f>
        <v>1023.5999999999999</v>
      </c>
      <c r="C152" s="58">
        <f>C19+C75+C101+C105+C129+C133+C149+C16</f>
        <v>10173.876799999998</v>
      </c>
      <c r="D152" s="58">
        <f t="shared" si="70"/>
        <v>5217.9439999999995</v>
      </c>
      <c r="E152" s="58">
        <f>E19+E75+E101+E105+E129+E133+E149+E16-0.1</f>
        <v>78788.10132108799</v>
      </c>
      <c r="F152" s="58">
        <f>F19+F75+F101+F105+F129+F133+F149+F16</f>
        <v>259.89999999999998</v>
      </c>
      <c r="G152" s="58">
        <f>G19+G75+G101+G105+G129+G133+G149+G16</f>
        <v>3243.2249100160002</v>
      </c>
      <c r="H152" s="58">
        <f t="shared" ref="H152:L152" si="71">H19+H75+H101+H105+H129+H133+H149+H16</f>
        <v>11466.721000000001</v>
      </c>
      <c r="I152" s="58">
        <f>I19+I75+I101+I105+I129+I133+I149+I16-0.1</f>
        <v>1459.653861256</v>
      </c>
      <c r="J152" s="58">
        <f t="shared" si="71"/>
        <v>11486.679</v>
      </c>
      <c r="K152" s="58">
        <f>K19+K75+K101+K105+K129+K133+K149+K16+0.1</f>
        <v>1721.1335207119996</v>
      </c>
      <c r="L152" s="58">
        <f t="shared" si="71"/>
        <v>605.61200000000008</v>
      </c>
      <c r="M152" s="58">
        <f>M19+M75+M101+M105+M129+M133+M149+M16</f>
        <v>323.41608943999995</v>
      </c>
      <c r="N152" s="66">
        <f>SUM(C152,E152,G152,I152,K152)+M152</f>
        <v>95709.406502511978</v>
      </c>
      <c r="O152" s="50"/>
      <c r="P152" s="59"/>
    </row>
    <row r="153" spans="1:17" ht="19.5" thickBot="1" x14ac:dyDescent="0.35">
      <c r="A153" s="60" t="s">
        <v>43</v>
      </c>
      <c r="B153" s="58">
        <f t="shared" si="70"/>
        <v>1039.5</v>
      </c>
      <c r="C153" s="58">
        <f>C20+C76+C102+C106+C130+C134+C150+C17</f>
        <v>10771.505727199998</v>
      </c>
      <c r="D153" s="58">
        <f t="shared" si="70"/>
        <v>3457.4659999999994</v>
      </c>
      <c r="E153" s="58">
        <f>E20+E76+E102+E106+E130+E134+E150+E17+0.1</f>
        <v>61961.517552799996</v>
      </c>
      <c r="F153" s="58">
        <f>F20+F76+F102+F106+F130+F134+F150+F17</f>
        <v>280.113</v>
      </c>
      <c r="G153" s="58">
        <f>G20+G76+G102+G106+G130+G134+G150+G17-0.1</f>
        <v>4349.4556327999999</v>
      </c>
      <c r="H153" s="58">
        <f>H20+H76+H102+H106+H130+H134+H150+H17</f>
        <v>11116.532000000001</v>
      </c>
      <c r="I153" s="58">
        <f>I20+I76+I102+I106+I130+I134+I150+I17</f>
        <v>1568.9047892000001</v>
      </c>
      <c r="J153" s="58">
        <f>J20+J76+J102+J106+J130+J134+J150+J17</f>
        <v>11116.532000000001</v>
      </c>
      <c r="K153" s="58">
        <f>K20+K76+K102+K106+K130+K134+K150+K17</f>
        <v>1843.2043179999998</v>
      </c>
      <c r="L153" s="58">
        <f>L20+L76+L102+L106+L130+L134+L150+L17</f>
        <v>605.6</v>
      </c>
      <c r="M153" s="58">
        <f>M20+M76+M102+M106+M130+M134+M150+M17+0.1</f>
        <v>342.82140098100012</v>
      </c>
      <c r="N153" s="58">
        <f>N20+N76+N102+N106+N130+N134+N150+N17+0.1</f>
        <v>80837.409420981028</v>
      </c>
      <c r="O153" s="50"/>
      <c r="P153" s="59"/>
    </row>
    <row r="154" spans="1:17" x14ac:dyDescent="0.3">
      <c r="A154" s="74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50"/>
      <c r="P154" s="80"/>
      <c r="Q154" s="81"/>
    </row>
    <row r="155" spans="1:17" x14ac:dyDescent="0.3">
      <c r="A155" s="74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68"/>
      <c r="O155" s="50"/>
      <c r="P155" s="69"/>
      <c r="Q155" s="72"/>
    </row>
    <row r="156" spans="1:17" x14ac:dyDescent="0.3">
      <c r="A156" s="74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P156" s="82"/>
      <c r="Q156" s="72"/>
    </row>
    <row r="157" spans="1:17" x14ac:dyDescent="0.3">
      <c r="A157" s="74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P157" s="82"/>
      <c r="Q157" s="72"/>
    </row>
    <row r="158" spans="1:17" x14ac:dyDescent="0.3">
      <c r="P158" s="73"/>
      <c r="Q158" s="72"/>
    </row>
    <row r="159" spans="1:17" x14ac:dyDescent="0.3">
      <c r="P159" s="73"/>
      <c r="Q159" s="72"/>
    </row>
    <row r="160" spans="1:17" x14ac:dyDescent="0.3">
      <c r="P160" s="73"/>
      <c r="Q160" s="72"/>
    </row>
    <row r="161" spans="16:17" x14ac:dyDescent="0.3">
      <c r="P161" s="73"/>
      <c r="Q161" s="72"/>
    </row>
    <row r="162" spans="16:17" x14ac:dyDescent="0.3">
      <c r="P162" s="73"/>
      <c r="Q162" s="72"/>
    </row>
    <row r="163" spans="16:17" x14ac:dyDescent="0.3">
      <c r="P163" s="73"/>
      <c r="Q163" s="72"/>
    </row>
    <row r="164" spans="16:17" x14ac:dyDescent="0.3">
      <c r="P164" s="73"/>
      <c r="Q164" s="72"/>
    </row>
    <row r="165" spans="16:17" x14ac:dyDescent="0.3">
      <c r="P165" s="73"/>
      <c r="Q165" s="72"/>
    </row>
    <row r="166" spans="16:17" x14ac:dyDescent="0.3">
      <c r="P166" s="73"/>
      <c r="Q166" s="72"/>
    </row>
    <row r="167" spans="16:17" x14ac:dyDescent="0.3">
      <c r="P167" s="73"/>
      <c r="Q167" s="72"/>
    </row>
    <row r="168" spans="16:17" x14ac:dyDescent="0.3">
      <c r="P168" s="73"/>
      <c r="Q168" s="72"/>
    </row>
    <row r="169" spans="16:17" x14ac:dyDescent="0.3">
      <c r="P169" s="73"/>
      <c r="Q169" s="72"/>
    </row>
    <row r="170" spans="16:17" x14ac:dyDescent="0.3">
      <c r="P170" s="73"/>
      <c r="Q170" s="72"/>
    </row>
    <row r="171" spans="16:17" x14ac:dyDescent="0.3">
      <c r="P171" s="73"/>
      <c r="Q171" s="72"/>
    </row>
    <row r="172" spans="16:17" x14ac:dyDescent="0.3">
      <c r="P172" s="73"/>
      <c r="Q172" s="72"/>
    </row>
    <row r="173" spans="16:17" x14ac:dyDescent="0.3">
      <c r="P173" s="73"/>
      <c r="Q173" s="72"/>
    </row>
    <row r="174" spans="16:17" x14ac:dyDescent="0.3">
      <c r="P174" s="73"/>
      <c r="Q174" s="72"/>
    </row>
    <row r="175" spans="16:17" x14ac:dyDescent="0.3">
      <c r="P175" s="73"/>
      <c r="Q175" s="72"/>
    </row>
    <row r="176" spans="16:17" x14ac:dyDescent="0.3">
      <c r="P176" s="73"/>
      <c r="Q176" s="72"/>
    </row>
    <row r="177" spans="16:17" x14ac:dyDescent="0.3">
      <c r="P177" s="73"/>
      <c r="Q177" s="72"/>
    </row>
    <row r="178" spans="16:17" x14ac:dyDescent="0.3">
      <c r="P178" s="73"/>
      <c r="Q178" s="72"/>
    </row>
    <row r="179" spans="16:17" x14ac:dyDescent="0.3">
      <c r="P179" s="73"/>
      <c r="Q179" s="72"/>
    </row>
    <row r="180" spans="16:17" x14ac:dyDescent="0.3">
      <c r="P180" s="73"/>
      <c r="Q180" s="72"/>
    </row>
    <row r="181" spans="16:17" x14ac:dyDescent="0.3">
      <c r="P181" s="73"/>
      <c r="Q181" s="72"/>
    </row>
  </sheetData>
  <autoFilter ref="A13:N150"/>
  <mergeCells count="32">
    <mergeCell ref="J11:J12"/>
    <mergeCell ref="F11:F12"/>
    <mergeCell ref="J10:K10"/>
    <mergeCell ref="D11:D12"/>
    <mergeCell ref="N10:N12"/>
    <mergeCell ref="H11:H12"/>
    <mergeCell ref="D10:E10"/>
    <mergeCell ref="F10:G10"/>
    <mergeCell ref="A135:N135"/>
    <mergeCell ref="A111:N111"/>
    <mergeCell ref="A127:N127"/>
    <mergeCell ref="A87:N87"/>
    <mergeCell ref="A77:N77"/>
    <mergeCell ref="A103:N103"/>
    <mergeCell ref="A107:N107"/>
    <mergeCell ref="A131:N131"/>
    <mergeCell ref="L1:N1"/>
    <mergeCell ref="P10:P12"/>
    <mergeCell ref="Q10:Q12"/>
    <mergeCell ref="A49:N49"/>
    <mergeCell ref="A21:N21"/>
    <mergeCell ref="A10:A12"/>
    <mergeCell ref="A14:N14"/>
    <mergeCell ref="L10:M10"/>
    <mergeCell ref="L11:L12"/>
    <mergeCell ref="M11:M12"/>
    <mergeCell ref="A7:N7"/>
    <mergeCell ref="A8:N8"/>
    <mergeCell ref="H9:N9"/>
    <mergeCell ref="C11:C12"/>
    <mergeCell ref="B10:C10"/>
    <mergeCell ref="H10:I10"/>
  </mergeCells>
  <phoneticPr fontId="5" type="noConversion"/>
  <printOptions horizontalCentered="1"/>
  <pageMargins left="0.7" right="0.7" top="0.75" bottom="0.75" header="0.3" footer="0.3"/>
  <pageSetup paperSize="9" scale="3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zoomScale="89" zoomScaleNormal="89" workbookViewId="0">
      <selection activeCell="F5" sqref="F5"/>
    </sheetView>
  </sheetViews>
  <sheetFormatPr defaultRowHeight="15" x14ac:dyDescent="0.25"/>
  <cols>
    <col min="1" max="1" width="5.140625" customWidth="1"/>
    <col min="2" max="2" width="21.42578125" customWidth="1"/>
    <col min="3" max="3" width="17.5703125" customWidth="1"/>
    <col min="4" max="7" width="13.28515625" customWidth="1"/>
    <col min="16" max="16" width="14.42578125" customWidth="1"/>
    <col min="18" max="18" width="12.28515625" bestFit="1" customWidth="1"/>
    <col min="20" max="20" width="12.28515625" bestFit="1" customWidth="1"/>
    <col min="23" max="23" width="11.42578125" customWidth="1"/>
    <col min="24" max="24" width="13.42578125" bestFit="1" customWidth="1"/>
    <col min="26" max="26" width="12.28515625" bestFit="1" customWidth="1"/>
  </cols>
  <sheetData>
    <row r="1" spans="1:24" ht="35.25" customHeight="1" x14ac:dyDescent="0.25">
      <c r="A1" s="113"/>
      <c r="B1" s="113"/>
      <c r="C1" s="113"/>
      <c r="D1" s="113"/>
      <c r="E1" s="113"/>
      <c r="F1" s="113"/>
      <c r="G1" s="113"/>
    </row>
    <row r="2" spans="1:24" ht="35.25" customHeight="1" thickBot="1" x14ac:dyDescent="0.3">
      <c r="A2" s="113" t="s">
        <v>66</v>
      </c>
      <c r="B2" s="113"/>
      <c r="C2" s="113"/>
      <c r="D2" s="113"/>
      <c r="E2" s="113"/>
      <c r="F2" s="113"/>
      <c r="G2" s="113"/>
      <c r="P2" t="s">
        <v>23</v>
      </c>
      <c r="R2" t="s">
        <v>43</v>
      </c>
    </row>
    <row r="3" spans="1:24" ht="29.25" customHeight="1" thickBot="1" x14ac:dyDescent="0.3">
      <c r="A3" s="5" t="s">
        <v>25</v>
      </c>
      <c r="B3" s="6" t="s">
        <v>26</v>
      </c>
      <c r="C3" s="6" t="s">
        <v>27</v>
      </c>
      <c r="D3" s="6" t="s">
        <v>31</v>
      </c>
      <c r="E3" s="6" t="s">
        <v>32</v>
      </c>
      <c r="F3" s="6" t="s">
        <v>33</v>
      </c>
      <c r="G3" s="6" t="s">
        <v>34</v>
      </c>
      <c r="L3" t="s">
        <v>47</v>
      </c>
      <c r="M3">
        <v>1254.0999999999999</v>
      </c>
      <c r="N3">
        <v>0.03</v>
      </c>
      <c r="P3">
        <f>M3*N3*F5</f>
        <v>403572.5904959999</v>
      </c>
      <c r="R3">
        <f>M3*N3*G5</f>
        <v>455593.46111999999</v>
      </c>
    </row>
    <row r="4" spans="1:24" ht="35.1" customHeight="1" x14ac:dyDescent="0.25">
      <c r="A4" s="103" t="s">
        <v>28</v>
      </c>
      <c r="B4" s="114" t="s">
        <v>29</v>
      </c>
      <c r="C4" s="10" t="s">
        <v>18</v>
      </c>
      <c r="D4" s="2">
        <v>0</v>
      </c>
      <c r="E4" s="2">
        <v>0</v>
      </c>
      <c r="F4" s="1">
        <f t="shared" ref="F4:F13" si="0">SUM(D4*1.2)</f>
        <v>0</v>
      </c>
      <c r="G4" s="1">
        <f t="shared" ref="G4:G13" si="1">SUM(E4*1.2)</f>
        <v>0</v>
      </c>
      <c r="J4" s="2">
        <v>0</v>
      </c>
      <c r="L4" t="s">
        <v>48</v>
      </c>
      <c r="M4">
        <v>610.1</v>
      </c>
      <c r="N4">
        <v>3.3000000000000002E-2</v>
      </c>
      <c r="P4">
        <f>M4*N4*D7</f>
        <v>416230.20687600004</v>
      </c>
      <c r="R4">
        <f>M4*N4*G7</f>
        <v>563442.39994680008</v>
      </c>
    </row>
    <row r="5" spans="1:24" ht="35.1" customHeight="1" x14ac:dyDescent="0.25">
      <c r="A5" s="104"/>
      <c r="B5" s="115"/>
      <c r="C5" s="37" t="s">
        <v>22</v>
      </c>
      <c r="D5" s="40">
        <v>8938.9599999999991</v>
      </c>
      <c r="E5" s="40">
        <v>10091.200000000001</v>
      </c>
      <c r="F5" s="16">
        <f t="shared" si="0"/>
        <v>10726.751999999999</v>
      </c>
      <c r="G5" s="16">
        <f t="shared" si="1"/>
        <v>12109.44</v>
      </c>
      <c r="I5">
        <v>1.04</v>
      </c>
      <c r="J5" s="3">
        <f>D5*1.04</f>
        <v>9296.518399999999</v>
      </c>
      <c r="L5" t="s">
        <v>49</v>
      </c>
      <c r="M5">
        <v>590.9</v>
      </c>
      <c r="N5">
        <v>3.9E-2</v>
      </c>
      <c r="P5">
        <f>M5*N5*D4</f>
        <v>0</v>
      </c>
      <c r="R5">
        <f>M5*N5*G4</f>
        <v>0</v>
      </c>
    </row>
    <row r="6" spans="1:24" ht="35.1" customHeight="1" x14ac:dyDescent="0.25">
      <c r="A6" s="104"/>
      <c r="B6" s="115"/>
      <c r="C6" s="37" t="s">
        <v>19</v>
      </c>
      <c r="D6" s="40">
        <v>21626.15</v>
      </c>
      <c r="E6" s="40">
        <v>23874.07</v>
      </c>
      <c r="F6" s="16">
        <f t="shared" si="0"/>
        <v>25951.38</v>
      </c>
      <c r="G6" s="16">
        <f t="shared" si="1"/>
        <v>28648.883999999998</v>
      </c>
      <c r="I6">
        <v>1.04</v>
      </c>
      <c r="J6" s="3">
        <f t="shared" ref="J6:J24" si="2">D6*1.04</f>
        <v>22491.196000000004</v>
      </c>
      <c r="L6" t="s">
        <v>50</v>
      </c>
      <c r="M6">
        <v>2045.9</v>
      </c>
      <c r="N6">
        <v>2.9000000000000001E-2</v>
      </c>
      <c r="P6">
        <f>M6*N6*D6</f>
        <v>1283103.2682650003</v>
      </c>
      <c r="R6">
        <f>M6*N6*G6</f>
        <v>1699769.8014924</v>
      </c>
      <c r="T6" t="s">
        <v>51</v>
      </c>
    </row>
    <row r="7" spans="1:24" ht="35.1" customHeight="1" x14ac:dyDescent="0.25">
      <c r="A7" s="104"/>
      <c r="B7" s="115"/>
      <c r="C7" s="37" t="s">
        <v>30</v>
      </c>
      <c r="D7" s="40">
        <v>20673.72</v>
      </c>
      <c r="E7" s="40">
        <v>23321.33</v>
      </c>
      <c r="F7" s="16">
        <f t="shared" si="0"/>
        <v>24808.464</v>
      </c>
      <c r="G7" s="16">
        <f t="shared" si="1"/>
        <v>27985.596000000001</v>
      </c>
      <c r="I7">
        <v>1.04</v>
      </c>
      <c r="J7" s="3">
        <f t="shared" si="2"/>
        <v>21500.668800000003</v>
      </c>
      <c r="P7">
        <f>P3+P4+P5+P6</f>
        <v>2102906.0656370004</v>
      </c>
      <c r="R7">
        <f>R3+R4+R5+R6</f>
        <v>2718805.6625592001</v>
      </c>
      <c r="T7">
        <f>P7+R7</f>
        <v>4821711.7281962</v>
      </c>
    </row>
    <row r="8" spans="1:24" ht="35.1" customHeight="1" thickBot="1" x14ac:dyDescent="0.3">
      <c r="A8" s="105"/>
      <c r="B8" s="116"/>
      <c r="C8" s="8" t="s">
        <v>17</v>
      </c>
      <c r="D8" s="41">
        <v>15824.06</v>
      </c>
      <c r="E8" s="40">
        <v>23719.39</v>
      </c>
      <c r="F8" s="17">
        <f t="shared" si="0"/>
        <v>18988.871999999999</v>
      </c>
      <c r="G8" s="17">
        <f t="shared" si="1"/>
        <v>28463.268</v>
      </c>
      <c r="I8">
        <v>1.04</v>
      </c>
      <c r="J8" s="3">
        <f t="shared" si="2"/>
        <v>16457.022400000002</v>
      </c>
      <c r="P8" s="7">
        <f>P7*6</f>
        <v>12617436.393822003</v>
      </c>
      <c r="R8" s="7">
        <f>R7*6</f>
        <v>16312833.9753552</v>
      </c>
      <c r="T8">
        <f>P8+R8</f>
        <v>28930270.369177204</v>
      </c>
    </row>
    <row r="9" spans="1:24" ht="35.1" customHeight="1" x14ac:dyDescent="0.25">
      <c r="A9" s="103" t="s">
        <v>35</v>
      </c>
      <c r="B9" s="106" t="s">
        <v>36</v>
      </c>
      <c r="C9" s="10" t="s">
        <v>18</v>
      </c>
      <c r="D9" s="18">
        <v>0</v>
      </c>
      <c r="E9" s="19">
        <f>I9*J9</f>
        <v>0</v>
      </c>
      <c r="F9" s="20">
        <f t="shared" si="0"/>
        <v>0</v>
      </c>
      <c r="G9" s="20">
        <f t="shared" si="1"/>
        <v>0</v>
      </c>
      <c r="I9">
        <v>1.04</v>
      </c>
      <c r="J9" s="3">
        <f t="shared" si="2"/>
        <v>0</v>
      </c>
    </row>
    <row r="10" spans="1:24" ht="35.1" customHeight="1" x14ac:dyDescent="0.25">
      <c r="A10" s="104"/>
      <c r="B10" s="107"/>
      <c r="C10" s="37" t="s">
        <v>22</v>
      </c>
      <c r="D10" s="40">
        <v>74.22</v>
      </c>
      <c r="E10" s="40">
        <v>83.75</v>
      </c>
      <c r="F10" s="16">
        <f t="shared" si="0"/>
        <v>89.063999999999993</v>
      </c>
      <c r="G10" s="16">
        <f t="shared" si="1"/>
        <v>100.5</v>
      </c>
      <c r="I10">
        <v>1.04</v>
      </c>
      <c r="J10" s="3">
        <f t="shared" si="2"/>
        <v>77.188800000000001</v>
      </c>
      <c r="L10" t="s">
        <v>52</v>
      </c>
      <c r="N10" t="s">
        <v>23</v>
      </c>
      <c r="P10" t="s">
        <v>53</v>
      </c>
      <c r="R10" t="s">
        <v>51</v>
      </c>
    </row>
    <row r="11" spans="1:24" ht="35.1" customHeight="1" x14ac:dyDescent="0.25">
      <c r="A11" s="104"/>
      <c r="B11" s="107"/>
      <c r="C11" s="37" t="s">
        <v>19</v>
      </c>
      <c r="D11" s="40">
        <v>95.08</v>
      </c>
      <c r="E11" s="40">
        <v>102.19</v>
      </c>
      <c r="F11" s="16">
        <f t="shared" si="0"/>
        <v>114.09599999999999</v>
      </c>
      <c r="G11" s="16">
        <f t="shared" si="1"/>
        <v>122.62799999999999</v>
      </c>
      <c r="I11">
        <v>1.04</v>
      </c>
      <c r="J11" s="3">
        <f t="shared" si="2"/>
        <v>98.883200000000002</v>
      </c>
      <c r="N11">
        <v>5750867.75</v>
      </c>
      <c r="P11">
        <v>5821696.6399999997</v>
      </c>
      <c r="R11">
        <f>N11+P11</f>
        <v>11572564.390000001</v>
      </c>
    </row>
    <row r="12" spans="1:24" ht="35.1" customHeight="1" x14ac:dyDescent="0.25">
      <c r="A12" s="104"/>
      <c r="B12" s="107"/>
      <c r="C12" s="37" t="s">
        <v>30</v>
      </c>
      <c r="D12" s="40">
        <v>74.22</v>
      </c>
      <c r="E12" s="40">
        <v>83.75</v>
      </c>
      <c r="F12" s="16">
        <f t="shared" si="0"/>
        <v>89.063999999999993</v>
      </c>
      <c r="G12" s="16">
        <f t="shared" si="1"/>
        <v>100.5</v>
      </c>
      <c r="I12">
        <v>1.04</v>
      </c>
      <c r="J12" s="3">
        <f t="shared" si="2"/>
        <v>77.188800000000001</v>
      </c>
    </row>
    <row r="13" spans="1:24" ht="35.1" customHeight="1" thickBot="1" x14ac:dyDescent="0.3">
      <c r="A13" s="105"/>
      <c r="B13" s="108"/>
      <c r="C13" s="8" t="s">
        <v>17</v>
      </c>
      <c r="D13" s="45">
        <v>118.41</v>
      </c>
      <c r="E13" s="40">
        <v>125.27</v>
      </c>
      <c r="F13" s="17">
        <f t="shared" si="0"/>
        <v>142.09199999999998</v>
      </c>
      <c r="G13" s="17">
        <f t="shared" si="1"/>
        <v>150.32399999999998</v>
      </c>
      <c r="I13">
        <v>1.04</v>
      </c>
      <c r="J13" s="3">
        <f t="shared" si="2"/>
        <v>123.1464</v>
      </c>
      <c r="L13" t="s">
        <v>54</v>
      </c>
      <c r="N13">
        <v>353896.35</v>
      </c>
      <c r="P13">
        <v>355096.26</v>
      </c>
      <c r="R13">
        <f>N13+P13</f>
        <v>708992.61</v>
      </c>
    </row>
    <row r="14" spans="1:24" ht="35.1" customHeight="1" x14ac:dyDescent="0.25">
      <c r="A14" s="103" t="s">
        <v>37</v>
      </c>
      <c r="B14" s="106" t="s">
        <v>38</v>
      </c>
      <c r="C14" s="11" t="s">
        <v>18</v>
      </c>
      <c r="D14" s="21">
        <v>0</v>
      </c>
      <c r="E14" s="22">
        <f>I14*J14</f>
        <v>0</v>
      </c>
      <c r="F14" s="23">
        <f>SUM(D14*1.18)</f>
        <v>0</v>
      </c>
      <c r="G14" s="24">
        <f>SUM(E14*1.18)</f>
        <v>0</v>
      </c>
      <c r="I14">
        <v>1.04</v>
      </c>
      <c r="J14" s="3">
        <f t="shared" si="2"/>
        <v>0</v>
      </c>
      <c r="N14" t="s">
        <v>44</v>
      </c>
      <c r="O14" t="s">
        <v>56</v>
      </c>
      <c r="P14" t="s">
        <v>48</v>
      </c>
      <c r="Q14" t="s">
        <v>57</v>
      </c>
      <c r="R14" t="s">
        <v>58</v>
      </c>
    </row>
    <row r="15" spans="1:24" ht="35.1" customHeight="1" x14ac:dyDescent="0.25">
      <c r="A15" s="104"/>
      <c r="B15" s="107"/>
      <c r="C15" s="38" t="s">
        <v>22</v>
      </c>
      <c r="D15" s="46">
        <v>125.94</v>
      </c>
      <c r="E15" s="47">
        <v>140.09</v>
      </c>
      <c r="F15" s="25">
        <f t="shared" ref="F15:G24" si="3">SUM(D15*1.2)</f>
        <v>151.12799999999999</v>
      </c>
      <c r="G15" s="26">
        <f t="shared" si="3"/>
        <v>168.108</v>
      </c>
      <c r="I15">
        <v>1.04</v>
      </c>
      <c r="J15" s="3">
        <f t="shared" si="2"/>
        <v>130.9776</v>
      </c>
      <c r="L15" t="s">
        <v>55</v>
      </c>
      <c r="N15">
        <v>1338</v>
      </c>
      <c r="O15">
        <v>5556</v>
      </c>
      <c r="P15">
        <v>834</v>
      </c>
      <c r="Q15">
        <f>N15+O15+P15</f>
        <v>7728</v>
      </c>
      <c r="R15">
        <f>Q15*F21</f>
        <v>82442.304000000004</v>
      </c>
      <c r="T15" t="s">
        <v>51</v>
      </c>
      <c r="W15" t="s">
        <v>60</v>
      </c>
      <c r="X15">
        <f>P8+N11+N13+R15</f>
        <v>18804642.797822006</v>
      </c>
    </row>
    <row r="16" spans="1:24" ht="35.1" customHeight="1" x14ac:dyDescent="0.25">
      <c r="A16" s="104"/>
      <c r="B16" s="107"/>
      <c r="C16" s="38" t="s">
        <v>19</v>
      </c>
      <c r="D16" s="46">
        <v>29.8</v>
      </c>
      <c r="E16" s="47">
        <v>34.979999999999997</v>
      </c>
      <c r="F16" s="25">
        <f t="shared" si="3"/>
        <v>35.76</v>
      </c>
      <c r="G16" s="26">
        <f t="shared" si="3"/>
        <v>41.975999999999992</v>
      </c>
      <c r="I16">
        <v>1.04</v>
      </c>
      <c r="J16" s="3">
        <f t="shared" si="2"/>
        <v>30.992000000000001</v>
      </c>
      <c r="N16">
        <v>1338</v>
      </c>
      <c r="O16">
        <v>5556</v>
      </c>
      <c r="P16">
        <v>834</v>
      </c>
      <c r="Q16">
        <v>7728</v>
      </c>
      <c r="R16">
        <f>Q16*G21</f>
        <v>86481.976895999993</v>
      </c>
      <c r="T16">
        <f>R15+R16</f>
        <v>168924.28089599998</v>
      </c>
      <c r="W16" t="s">
        <v>61</v>
      </c>
      <c r="X16">
        <f>R8+P11+P13+R16</f>
        <v>22576108.852251202</v>
      </c>
    </row>
    <row r="17" spans="1:26" s="7" customFormat="1" ht="35.1" customHeight="1" x14ac:dyDescent="0.25">
      <c r="A17" s="104"/>
      <c r="B17" s="107"/>
      <c r="C17" s="12" t="s">
        <v>30</v>
      </c>
      <c r="D17" s="42">
        <v>120.67</v>
      </c>
      <c r="E17" s="43">
        <v>135.03</v>
      </c>
      <c r="F17" s="27">
        <f t="shared" si="3"/>
        <v>144.804</v>
      </c>
      <c r="G17" s="28">
        <f t="shared" si="3"/>
        <v>162.036</v>
      </c>
      <c r="H17" s="9"/>
      <c r="I17">
        <v>1.04</v>
      </c>
      <c r="J17" s="3">
        <f>D17*1.04</f>
        <v>125.49680000000001</v>
      </c>
      <c r="W17" s="7" t="s">
        <v>59</v>
      </c>
      <c r="X17" s="7">
        <f>T8+R11+R13+T16</f>
        <v>41380751.650073208</v>
      </c>
      <c r="Z17" s="7">
        <f>X15+X16</f>
        <v>41380751.650073208</v>
      </c>
    </row>
    <row r="18" spans="1:26" ht="35.1" customHeight="1" x14ac:dyDescent="0.25">
      <c r="A18" s="111"/>
      <c r="B18" s="112"/>
      <c r="C18" s="109" t="s">
        <v>17</v>
      </c>
      <c r="D18" s="46">
        <v>143.91999999999999</v>
      </c>
      <c r="E18" s="47">
        <v>161.04</v>
      </c>
      <c r="F18" s="25">
        <f t="shared" si="3"/>
        <v>172.70399999999998</v>
      </c>
      <c r="G18" s="26">
        <f t="shared" si="3"/>
        <v>193.24799999999999</v>
      </c>
      <c r="H18" s="4"/>
      <c r="I18">
        <v>1.04</v>
      </c>
      <c r="J18" s="3">
        <f t="shared" si="2"/>
        <v>149.67679999999999</v>
      </c>
    </row>
    <row r="19" spans="1:26" s="7" customFormat="1" ht="35.1" customHeight="1" thickBot="1" x14ac:dyDescent="0.3">
      <c r="A19" s="105"/>
      <c r="B19" s="108"/>
      <c r="C19" s="110"/>
      <c r="D19" s="44">
        <v>119.93</v>
      </c>
      <c r="E19" s="43">
        <v>134.19999999999999</v>
      </c>
      <c r="F19" s="29">
        <f t="shared" si="3"/>
        <v>143.916</v>
      </c>
      <c r="G19" s="30">
        <f t="shared" si="3"/>
        <v>161.04</v>
      </c>
      <c r="H19" s="9"/>
      <c r="I19">
        <v>1.04</v>
      </c>
      <c r="J19" s="3">
        <f t="shared" si="2"/>
        <v>124.72720000000001</v>
      </c>
    </row>
    <row r="20" spans="1:26" ht="35.1" customHeight="1" x14ac:dyDescent="0.25">
      <c r="A20" s="103" t="s">
        <v>39</v>
      </c>
      <c r="B20" s="106" t="s">
        <v>40</v>
      </c>
      <c r="C20" s="13" t="s">
        <v>18</v>
      </c>
      <c r="D20" s="31">
        <v>0</v>
      </c>
      <c r="E20" s="32">
        <f>I20*J20</f>
        <v>0</v>
      </c>
      <c r="F20" s="33">
        <f t="shared" si="3"/>
        <v>0</v>
      </c>
      <c r="G20" s="20">
        <f t="shared" si="3"/>
        <v>0</v>
      </c>
      <c r="I20">
        <v>1.04</v>
      </c>
      <c r="J20" s="3">
        <f t="shared" si="2"/>
        <v>0</v>
      </c>
    </row>
    <row r="21" spans="1:26" ht="35.1" customHeight="1" x14ac:dyDescent="0.25">
      <c r="A21" s="104"/>
      <c r="B21" s="107"/>
      <c r="C21" s="14" t="s">
        <v>22</v>
      </c>
      <c r="D21" s="46">
        <v>8.89</v>
      </c>
      <c r="E21" s="47">
        <f t="shared" ref="E21:E24" si="4">D21*1.049</f>
        <v>9.3256099999999993</v>
      </c>
      <c r="F21" s="34">
        <f t="shared" si="3"/>
        <v>10.668000000000001</v>
      </c>
      <c r="G21" s="16">
        <f t="shared" si="3"/>
        <v>11.190731999999999</v>
      </c>
      <c r="I21">
        <v>1.04</v>
      </c>
      <c r="J21" s="3">
        <f t="shared" si="2"/>
        <v>9.2456000000000014</v>
      </c>
    </row>
    <row r="22" spans="1:26" ht="35.1" customHeight="1" x14ac:dyDescent="0.25">
      <c r="A22" s="104"/>
      <c r="B22" s="107"/>
      <c r="C22" s="14" t="s">
        <v>19</v>
      </c>
      <c r="D22" s="46">
        <v>8.51</v>
      </c>
      <c r="E22" s="47">
        <v>9.76</v>
      </c>
      <c r="F22" s="34">
        <f t="shared" si="3"/>
        <v>10.212</v>
      </c>
      <c r="G22" s="16">
        <f t="shared" si="3"/>
        <v>11.712</v>
      </c>
      <c r="I22">
        <v>1.04</v>
      </c>
      <c r="J22" s="3">
        <f t="shared" si="2"/>
        <v>8.8504000000000005</v>
      </c>
    </row>
    <row r="23" spans="1:26" ht="35.1" customHeight="1" x14ac:dyDescent="0.25">
      <c r="A23" s="104"/>
      <c r="B23" s="107"/>
      <c r="C23" s="14" t="s">
        <v>30</v>
      </c>
      <c r="D23" s="46">
        <v>8.89</v>
      </c>
      <c r="E23" s="47">
        <f t="shared" si="4"/>
        <v>9.3256099999999993</v>
      </c>
      <c r="F23" s="34">
        <f t="shared" si="3"/>
        <v>10.668000000000001</v>
      </c>
      <c r="G23" s="16">
        <f t="shared" si="3"/>
        <v>11.190731999999999</v>
      </c>
      <c r="I23">
        <v>1.04</v>
      </c>
      <c r="J23" s="3">
        <f t="shared" si="2"/>
        <v>9.2456000000000014</v>
      </c>
    </row>
    <row r="24" spans="1:26" ht="35.1" customHeight="1" thickBot="1" x14ac:dyDescent="0.3">
      <c r="A24" s="105"/>
      <c r="B24" s="108"/>
      <c r="C24" s="15" t="s">
        <v>17</v>
      </c>
      <c r="D24" s="48">
        <v>8.89</v>
      </c>
      <c r="E24" s="47">
        <f t="shared" si="4"/>
        <v>9.3256099999999993</v>
      </c>
      <c r="F24" s="35">
        <f t="shared" si="3"/>
        <v>10.668000000000001</v>
      </c>
      <c r="G24" s="17">
        <f t="shared" si="3"/>
        <v>11.190731999999999</v>
      </c>
      <c r="I24">
        <v>1.04</v>
      </c>
      <c r="J24" s="3">
        <f t="shared" si="2"/>
        <v>9.2456000000000014</v>
      </c>
    </row>
    <row r="25" spans="1:26" ht="24.75" customHeight="1" x14ac:dyDescent="0.25">
      <c r="A25" s="103">
        <v>5</v>
      </c>
      <c r="B25" s="106" t="s">
        <v>63</v>
      </c>
      <c r="C25" s="13" t="s">
        <v>18</v>
      </c>
      <c r="D25" s="31">
        <v>0</v>
      </c>
      <c r="E25" s="18">
        <f>I25*J25</f>
        <v>0</v>
      </c>
      <c r="F25" s="20">
        <f t="shared" ref="F25:G29" si="5">SUM(D25*1.2)</f>
        <v>0</v>
      </c>
      <c r="G25" s="36">
        <f t="shared" si="5"/>
        <v>0</v>
      </c>
      <c r="I25">
        <v>1.04</v>
      </c>
      <c r="J25" s="3">
        <f>D25*1.04</f>
        <v>0</v>
      </c>
    </row>
    <row r="26" spans="1:26" ht="27.75" customHeight="1" x14ac:dyDescent="0.25">
      <c r="A26" s="104"/>
      <c r="B26" s="107"/>
      <c r="C26" s="38" t="s">
        <v>22</v>
      </c>
      <c r="D26" s="46">
        <v>554.66</v>
      </c>
      <c r="E26" s="46">
        <v>586.83000000000004</v>
      </c>
      <c r="F26" s="16">
        <f t="shared" si="5"/>
        <v>665.59199999999998</v>
      </c>
      <c r="G26" s="16">
        <f t="shared" si="5"/>
        <v>704.19600000000003</v>
      </c>
      <c r="I26">
        <v>1.04</v>
      </c>
      <c r="J26" s="3">
        <f>D26*1.04</f>
        <v>576.84640000000002</v>
      </c>
    </row>
    <row r="27" spans="1:26" ht="24.75" customHeight="1" x14ac:dyDescent="0.25">
      <c r="A27" s="104"/>
      <c r="B27" s="107"/>
      <c r="C27" s="38" t="s">
        <v>19</v>
      </c>
      <c r="D27" s="46">
        <v>554.66</v>
      </c>
      <c r="E27" s="46">
        <v>586.83000000000004</v>
      </c>
      <c r="F27" s="16">
        <f t="shared" si="5"/>
        <v>665.59199999999998</v>
      </c>
      <c r="G27" s="16">
        <f t="shared" si="5"/>
        <v>704.19600000000003</v>
      </c>
      <c r="I27">
        <v>1.04</v>
      </c>
      <c r="J27" s="3">
        <f>D27*1.04</f>
        <v>576.84640000000002</v>
      </c>
    </row>
    <row r="28" spans="1:26" ht="30" customHeight="1" x14ac:dyDescent="0.25">
      <c r="A28" s="104"/>
      <c r="B28" s="107"/>
      <c r="C28" s="38" t="s">
        <v>30</v>
      </c>
      <c r="D28" s="46">
        <v>554.66</v>
      </c>
      <c r="E28" s="46">
        <v>586.83000000000004</v>
      </c>
      <c r="F28" s="16">
        <f t="shared" si="5"/>
        <v>665.59199999999998</v>
      </c>
      <c r="G28" s="16">
        <f t="shared" si="5"/>
        <v>704.19600000000003</v>
      </c>
      <c r="I28">
        <v>1.04</v>
      </c>
      <c r="J28" s="3">
        <f>D28*1.04</f>
        <v>576.84640000000002</v>
      </c>
    </row>
    <row r="29" spans="1:26" ht="35.25" customHeight="1" thickBot="1" x14ac:dyDescent="0.3">
      <c r="A29" s="105"/>
      <c r="B29" s="108"/>
      <c r="C29" s="39" t="s">
        <v>17</v>
      </c>
      <c r="D29" s="46">
        <v>554.66</v>
      </c>
      <c r="E29" s="46">
        <v>586.83000000000004</v>
      </c>
      <c r="F29" s="16">
        <f t="shared" si="5"/>
        <v>665.59199999999998</v>
      </c>
      <c r="G29" s="16">
        <f t="shared" si="5"/>
        <v>704.19600000000003</v>
      </c>
      <c r="I29">
        <v>1.04</v>
      </c>
      <c r="J29" s="3">
        <f>D29*1.04</f>
        <v>576.84640000000002</v>
      </c>
    </row>
  </sheetData>
  <mergeCells count="13">
    <mergeCell ref="A9:A13"/>
    <mergeCell ref="B9:B13"/>
    <mergeCell ref="A1:G1"/>
    <mergeCell ref="A2:G2"/>
    <mergeCell ref="A4:A8"/>
    <mergeCell ref="B4:B8"/>
    <mergeCell ref="A25:A29"/>
    <mergeCell ref="B25:B29"/>
    <mergeCell ref="C18:C19"/>
    <mergeCell ref="A20:A24"/>
    <mergeCell ref="B20:B24"/>
    <mergeCell ref="A14:A19"/>
    <mergeCell ref="B14:B19"/>
  </mergeCells>
  <phoneticPr fontId="5" type="noConversion"/>
  <printOptions horizontalCentered="1"/>
  <pageMargins left="0.31496062992125984" right="0.31496062992125984" top="0.47244094488188981" bottom="0.47244094488188981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ЛИМИТЫ</vt:lpstr>
      <vt:lpstr>ТАРИФЫ</vt:lpstr>
      <vt:lpstr>ЛИМИТЫ!Заголовки_для_печати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Валерьевич</dc:creator>
  <cp:lastModifiedBy>1</cp:lastModifiedBy>
  <cp:lastPrinted>2025-08-07T05:28:19Z</cp:lastPrinted>
  <dcterms:created xsi:type="dcterms:W3CDTF">2016-11-22T02:25:12Z</dcterms:created>
  <dcterms:modified xsi:type="dcterms:W3CDTF">2025-08-07T06:00:16Z</dcterms:modified>
</cp:coreProperties>
</file>